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 tabRatio="681" activeTab="8"/>
  </bookViews>
  <sheets>
    <sheet name="експлік К" sheetId="33" r:id="rId1"/>
    <sheet name="експлік З" sheetId="27" r:id="rId2"/>
    <sheet name="експлік ж" sheetId="20" r:id="rId3"/>
    <sheet name="експлік Е" sheetId="31" r:id="rId4"/>
    <sheet name="експлік Д" sheetId="29" r:id="rId5"/>
    <sheet name="експлік Г" sheetId="22" r:id="rId6"/>
    <sheet name="експлік В" sheetId="17" r:id="rId7"/>
    <sheet name="експлік Б" sheetId="13" r:id="rId8"/>
    <sheet name="експлік А" sheetId="9" r:id="rId9"/>
  </sheets>
  <calcPr calcId="145621"/>
</workbook>
</file>

<file path=xl/calcChain.xml><?xml version="1.0" encoding="utf-8"?>
<calcChain xmlns="http://schemas.openxmlformats.org/spreadsheetml/2006/main">
  <c r="H20" i="33"/>
  <c r="H19"/>
  <c r="H18"/>
  <c r="H23"/>
  <c r="G17"/>
  <c r="G16"/>
  <c r="G15"/>
  <c r="F20"/>
  <c r="F19"/>
  <c r="F18"/>
  <c r="F17"/>
  <c r="F16"/>
  <c r="F15"/>
  <c r="G15" i="27"/>
  <c r="F15"/>
  <c r="F23" i="33"/>
  <c r="G27" i="20"/>
  <c r="F27"/>
  <c r="H26"/>
  <c r="F26"/>
  <c r="H25"/>
  <c r="F25"/>
  <c r="H24"/>
  <c r="F24"/>
  <c r="G23"/>
  <c r="F23"/>
  <c r="G22"/>
  <c r="F22"/>
  <c r="G21"/>
  <c r="F21"/>
  <c r="G20"/>
  <c r="F20"/>
  <c r="G19"/>
  <c r="F19"/>
  <c r="H18"/>
  <c r="F18"/>
  <c r="G17"/>
  <c r="G29"/>
  <c r="F17"/>
  <c r="H16"/>
  <c r="F16"/>
  <c r="H15"/>
  <c r="H29"/>
  <c r="F15"/>
  <c r="F29"/>
  <c r="H22" i="31"/>
  <c r="G19"/>
  <c r="F19"/>
  <c r="G18"/>
  <c r="F18"/>
  <c r="G17"/>
  <c r="F17"/>
  <c r="H16"/>
  <c r="F16"/>
  <c r="H15"/>
  <c r="F15"/>
  <c r="G22"/>
  <c r="F22"/>
  <c r="G22" i="29"/>
  <c r="H22"/>
  <c r="G18"/>
  <c r="F18"/>
  <c r="H17"/>
  <c r="F17"/>
  <c r="G16"/>
  <c r="F16"/>
  <c r="G15"/>
  <c r="F15"/>
  <c r="F22"/>
  <c r="G22" i="22"/>
  <c r="F22"/>
  <c r="G16"/>
  <c r="F16"/>
  <c r="G15"/>
  <c r="F15"/>
  <c r="H30" i="17"/>
  <c r="G28"/>
  <c r="F28"/>
  <c r="G27"/>
  <c r="F27"/>
  <c r="G26"/>
  <c r="F26"/>
  <c r="G25"/>
  <c r="F25"/>
  <c r="G24"/>
  <c r="F24"/>
  <c r="G23"/>
  <c r="F23"/>
  <c r="H22"/>
  <c r="F22"/>
  <c r="H21"/>
  <c r="F21"/>
  <c r="H20"/>
  <c r="F20"/>
  <c r="H19"/>
  <c r="F19"/>
  <c r="G18"/>
  <c r="F18"/>
  <c r="H17"/>
  <c r="F17"/>
  <c r="H16"/>
  <c r="F16"/>
  <c r="H15"/>
  <c r="F15"/>
  <c r="G22" i="13"/>
  <c r="F22"/>
  <c r="G21"/>
  <c r="F21"/>
  <c r="H20"/>
  <c r="F20"/>
  <c r="H19"/>
  <c r="F19"/>
  <c r="H18"/>
  <c r="F18"/>
  <c r="G17"/>
  <c r="F17"/>
  <c r="H16"/>
  <c r="F16"/>
  <c r="H15"/>
  <c r="F15"/>
  <c r="F82" i="9"/>
  <c r="H78"/>
  <c r="F78"/>
  <c r="H77"/>
  <c r="F77"/>
  <c r="H76"/>
  <c r="F76"/>
  <c r="G75"/>
  <c r="F75"/>
  <c r="G74"/>
  <c r="F74"/>
  <c r="G73"/>
  <c r="F73"/>
  <c r="G72"/>
  <c r="F72"/>
  <c r="G71"/>
  <c r="F71"/>
  <c r="G70"/>
  <c r="F70"/>
  <c r="G69"/>
  <c r="F69"/>
  <c r="H68"/>
  <c r="F68"/>
  <c r="G67"/>
  <c r="F67"/>
  <c r="G66"/>
  <c r="F66"/>
  <c r="G65"/>
  <c r="F65"/>
  <c r="H64"/>
  <c r="F64"/>
  <c r="H63"/>
  <c r="F63"/>
  <c r="H62"/>
  <c r="F62"/>
  <c r="G61"/>
  <c r="F61"/>
  <c r="H60"/>
  <c r="F60"/>
  <c r="H59"/>
  <c r="F59"/>
  <c r="H58"/>
  <c r="F58"/>
  <c r="G57"/>
  <c r="F57"/>
  <c r="H56"/>
  <c r="F56"/>
  <c r="H55"/>
  <c r="F55"/>
  <c r="H54"/>
  <c r="F54"/>
  <c r="H53"/>
  <c r="F53"/>
  <c r="G52"/>
  <c r="F52"/>
  <c r="G51"/>
  <c r="F51"/>
  <c r="G50"/>
  <c r="F50"/>
  <c r="H49"/>
  <c r="F49"/>
  <c r="H48"/>
  <c r="F48"/>
  <c r="G47"/>
  <c r="F47"/>
  <c r="G46"/>
  <c r="F46"/>
  <c r="G45"/>
  <c r="F45"/>
  <c r="G44"/>
  <c r="F44"/>
  <c r="G43"/>
  <c r="F43"/>
  <c r="G42"/>
  <c r="F42"/>
  <c r="G41"/>
  <c r="F41"/>
  <c r="H40"/>
  <c r="F40"/>
  <c r="G39"/>
  <c r="F39"/>
  <c r="H38"/>
  <c r="F38"/>
  <c r="G37"/>
  <c r="F37"/>
  <c r="G36"/>
  <c r="F36"/>
  <c r="G35"/>
  <c r="F35"/>
  <c r="G34"/>
  <c r="F34"/>
  <c r="G33"/>
  <c r="G80"/>
  <c r="F33"/>
  <c r="H32"/>
  <c r="H80"/>
  <c r="F32"/>
  <c r="F80"/>
  <c r="H30"/>
  <c r="H82"/>
  <c r="H28"/>
  <c r="F28"/>
  <c r="H27"/>
  <c r="F27"/>
  <c r="G26"/>
  <c r="F26"/>
  <c r="H25"/>
  <c r="F25"/>
  <c r="G24"/>
  <c r="F24"/>
  <c r="G23"/>
  <c r="F23"/>
  <c r="H22"/>
  <c r="F22"/>
  <c r="H21"/>
  <c r="F21"/>
  <c r="H20"/>
  <c r="F20"/>
  <c r="G19"/>
  <c r="G30"/>
  <c r="F19"/>
  <c r="H18"/>
  <c r="F18"/>
  <c r="H17"/>
  <c r="F17"/>
  <c r="H16"/>
  <c r="F16"/>
  <c r="H15"/>
  <c r="F15"/>
  <c r="F30"/>
  <c r="G23" i="33"/>
  <c r="G82" i="9"/>
  <c r="G22" i="27"/>
  <c r="F22"/>
  <c r="G27" i="13"/>
  <c r="F27"/>
  <c r="H27"/>
  <c r="G30" i="17"/>
  <c r="F30"/>
</calcChain>
</file>

<file path=xl/sharedStrings.xml><?xml version="1.0" encoding="utf-8"?>
<sst xmlns="http://schemas.openxmlformats.org/spreadsheetml/2006/main" count="324" uniqueCount="76">
  <si>
    <t>ЕКСПЛІКАЦІЯ</t>
  </si>
  <si>
    <t>Літера</t>
  </si>
  <si>
    <t>Поверх</t>
  </si>
  <si>
    <t>Примітки</t>
  </si>
  <si>
    <t>Усього:</t>
  </si>
  <si>
    <t xml:space="preserve">Номери відокремлених
 груп приміщень
</t>
  </si>
  <si>
    <t xml:space="preserve">Номери приміщень
</t>
  </si>
  <si>
    <t xml:space="preserve">допоміжна
(підсобна)
</t>
  </si>
  <si>
    <t xml:space="preserve">літніх, неопа-
люваних приміщень
</t>
  </si>
  <si>
    <t>житлова
(основна)</t>
  </si>
  <si>
    <t xml:space="preserve">площа приміщень 
загального
користування
</t>
  </si>
  <si>
    <r>
      <t>Загальна площа приміщень, підрахована за формулами розрахунку площ (м</t>
    </r>
    <r>
      <rPr>
        <i/>
        <vertAlign val="superscript"/>
        <sz val="9"/>
        <color indexed="8"/>
        <rFont val="Times New Roman"/>
        <family val="1"/>
        <charset val="204"/>
      </rPr>
      <t>2</t>
    </r>
    <r>
      <rPr>
        <i/>
        <sz val="12"/>
        <color indexed="8"/>
        <rFont val="Times New Roman"/>
        <family val="1"/>
        <charset val="204"/>
      </rPr>
      <t>)</t>
    </r>
  </si>
  <si>
    <r>
      <t>Площа (м</t>
    </r>
    <r>
      <rPr>
        <i/>
        <vertAlign val="superscript"/>
        <sz val="9"/>
        <color indexed="8"/>
        <rFont val="Times New Roman"/>
        <family val="1"/>
        <charset val="204"/>
      </rPr>
      <t>2</t>
    </r>
    <r>
      <rPr>
        <i/>
        <sz val="12"/>
        <color indexed="8"/>
        <rFont val="Times New Roman"/>
        <family val="1"/>
        <charset val="204"/>
      </rPr>
      <t>)</t>
    </r>
  </si>
  <si>
    <t xml:space="preserve">Призначення 
приміщень
</t>
  </si>
  <si>
    <t>(призначення)</t>
  </si>
  <si>
    <r>
      <t xml:space="preserve">                         район _____</t>
    </r>
    <r>
      <rPr>
        <i/>
        <u/>
        <sz val="12"/>
        <color indexed="8"/>
        <rFont val="Times New Roman"/>
        <family val="1"/>
        <charset val="204"/>
      </rPr>
      <t>Уманський</t>
    </r>
    <r>
      <rPr>
        <i/>
        <sz val="12"/>
        <color indexed="8"/>
        <rFont val="Times New Roman"/>
        <family val="1"/>
        <charset val="204"/>
      </rPr>
      <t>____, область ___</t>
    </r>
    <r>
      <rPr>
        <i/>
        <u/>
        <sz val="12"/>
        <color indexed="8"/>
        <rFont val="Times New Roman"/>
        <family val="1"/>
        <charset val="204"/>
      </rPr>
      <t>Черкаська</t>
    </r>
    <r>
      <rPr>
        <i/>
        <sz val="12"/>
        <color indexed="8"/>
        <rFont val="Times New Roman"/>
        <family val="1"/>
        <charset val="204"/>
      </rPr>
      <t>_____</t>
    </r>
  </si>
  <si>
    <t>І</t>
  </si>
  <si>
    <t>А</t>
  </si>
  <si>
    <t xml:space="preserve">приміщень громадського будинку </t>
  </si>
  <si>
    <t>Коридор</t>
  </si>
  <si>
    <t>Тамбур</t>
  </si>
  <si>
    <t>Туалет</t>
  </si>
  <si>
    <t>Умивальник</t>
  </si>
  <si>
    <t>В</t>
  </si>
  <si>
    <t>Б</t>
  </si>
  <si>
    <t>Гараж</t>
  </si>
  <si>
    <t>Комора</t>
  </si>
  <si>
    <t>Г</t>
  </si>
  <si>
    <t>Ж</t>
  </si>
  <si>
    <r>
      <t xml:space="preserve">                         </t>
    </r>
    <r>
      <rPr>
        <i/>
        <u/>
        <sz val="12"/>
        <color indexed="8"/>
        <rFont val="Times New Roman"/>
        <family val="1"/>
        <charset val="204"/>
      </rPr>
      <t>вулиця</t>
    </r>
    <r>
      <rPr>
        <i/>
        <sz val="12"/>
        <color indexed="8"/>
        <rFont val="Times New Roman"/>
        <family val="1"/>
        <charset val="204"/>
      </rPr>
      <t xml:space="preserve"> (провулок, площа) _____</t>
    </r>
    <r>
      <rPr>
        <i/>
        <u/>
        <sz val="12"/>
        <color indexed="8"/>
        <rFont val="Times New Roman"/>
        <family val="1"/>
        <charset val="204"/>
      </rPr>
      <t>Анісімова</t>
    </r>
    <r>
      <rPr>
        <i/>
        <sz val="12"/>
        <color indexed="8"/>
        <rFont val="Times New Roman"/>
        <family val="1"/>
        <charset val="204"/>
      </rPr>
      <t>_____, N __</t>
    </r>
    <r>
      <rPr>
        <i/>
        <u/>
        <sz val="12"/>
        <color indexed="8"/>
        <rFont val="Times New Roman"/>
        <family val="1"/>
        <charset val="204"/>
      </rPr>
      <t>14</t>
    </r>
    <r>
      <rPr>
        <i/>
        <sz val="12"/>
        <color indexed="8"/>
        <rFont val="Times New Roman"/>
        <family val="1"/>
        <charset val="204"/>
      </rPr>
      <t>_,</t>
    </r>
  </si>
  <si>
    <r>
      <t xml:space="preserve">                         місто (селище, </t>
    </r>
    <r>
      <rPr>
        <i/>
        <u/>
        <sz val="12"/>
        <color indexed="8"/>
        <rFont val="Times New Roman"/>
        <family val="1"/>
        <charset val="204"/>
      </rPr>
      <t>село</t>
    </r>
    <r>
      <rPr>
        <i/>
        <sz val="12"/>
        <color indexed="8"/>
        <rFont val="Times New Roman"/>
        <family val="1"/>
        <charset val="204"/>
      </rPr>
      <t>) _______</t>
    </r>
    <r>
      <rPr>
        <i/>
        <u/>
        <sz val="12"/>
        <color indexed="8"/>
        <rFont val="Times New Roman"/>
        <family val="1"/>
        <charset val="204"/>
      </rPr>
      <t>Ладижинка</t>
    </r>
    <r>
      <rPr>
        <i/>
        <sz val="12"/>
        <color indexed="8"/>
        <rFont val="Times New Roman"/>
        <family val="1"/>
        <charset val="204"/>
      </rPr>
      <t>_____________,</t>
    </r>
  </si>
  <si>
    <r>
      <t>"_</t>
    </r>
    <r>
      <rPr>
        <i/>
        <u/>
        <sz val="11"/>
        <color indexed="8"/>
        <rFont val="Times New Roman"/>
        <family val="1"/>
        <charset val="204"/>
      </rPr>
      <t>10</t>
    </r>
    <r>
      <rPr>
        <i/>
        <sz val="11"/>
        <color indexed="8"/>
        <rFont val="Times New Roman"/>
        <family val="1"/>
        <charset val="204"/>
      </rPr>
      <t>_" _____</t>
    </r>
    <r>
      <rPr>
        <i/>
        <u/>
        <sz val="11"/>
        <color indexed="8"/>
        <rFont val="Times New Roman"/>
        <family val="1"/>
        <charset val="204"/>
      </rPr>
      <t>08</t>
    </r>
    <r>
      <rPr>
        <i/>
        <sz val="11"/>
        <color indexed="8"/>
        <rFont val="Times New Roman"/>
        <family val="1"/>
        <charset val="204"/>
      </rPr>
      <t>____ 2020 року</t>
    </r>
  </si>
  <si>
    <r>
      <t>_</t>
    </r>
    <r>
      <rPr>
        <i/>
        <u/>
        <sz val="14"/>
        <rFont val="Times New Roman"/>
        <family val="1"/>
        <charset val="204"/>
      </rPr>
      <t>Дитяче відділення</t>
    </r>
    <r>
      <rPr>
        <i/>
        <sz val="14"/>
        <rFont val="Times New Roman"/>
        <family val="1"/>
        <charset val="204"/>
      </rPr>
      <t>_ літера "_Ж_"</t>
    </r>
  </si>
  <si>
    <r>
      <t>_</t>
    </r>
    <r>
      <rPr>
        <i/>
        <u/>
        <sz val="14"/>
        <rFont val="Times New Roman"/>
        <family val="1"/>
        <charset val="204"/>
      </rPr>
      <t>Туалет</t>
    </r>
    <r>
      <rPr>
        <i/>
        <sz val="14"/>
        <rFont val="Times New Roman"/>
        <family val="1"/>
        <charset val="204"/>
      </rPr>
      <t>_ літера "_Г_"</t>
    </r>
  </si>
  <si>
    <r>
      <t>_</t>
    </r>
    <r>
      <rPr>
        <i/>
        <u/>
        <sz val="14"/>
        <rFont val="Times New Roman"/>
        <family val="1"/>
        <charset val="204"/>
      </rPr>
      <t>Головний корпус</t>
    </r>
    <r>
      <rPr>
        <i/>
        <sz val="14"/>
        <rFont val="Times New Roman"/>
        <family val="1"/>
        <charset val="204"/>
      </rPr>
      <t>_ літера "_</t>
    </r>
    <r>
      <rPr>
        <i/>
        <u/>
        <sz val="14"/>
        <rFont val="Times New Roman"/>
        <family val="1"/>
        <charset val="204"/>
      </rPr>
      <t>А</t>
    </r>
    <r>
      <rPr>
        <i/>
        <sz val="14"/>
        <rFont val="Times New Roman"/>
        <family val="1"/>
        <charset val="204"/>
      </rPr>
      <t>_"</t>
    </r>
  </si>
  <si>
    <t>цп</t>
  </si>
  <si>
    <t>Роздаточна</t>
  </si>
  <si>
    <t>Пральня</t>
  </si>
  <si>
    <t>Приміщення персоналу</t>
  </si>
  <si>
    <t>Кабінет</t>
  </si>
  <si>
    <t>Котельня</t>
  </si>
  <si>
    <t>Склад</t>
  </si>
  <si>
    <t>Мийна</t>
  </si>
  <si>
    <t>Кухня</t>
  </si>
  <si>
    <t>Актовий зал</t>
  </si>
  <si>
    <t>Фізкабінет</t>
  </si>
  <si>
    <t>Операційна</t>
  </si>
  <si>
    <t>Передопераційна</t>
  </si>
  <si>
    <t>Палата</t>
  </si>
  <si>
    <t>Маніпуляційна</t>
  </si>
  <si>
    <t>Їдальня</t>
  </si>
  <si>
    <t>Ординаторська</t>
  </si>
  <si>
    <t>Ванна</t>
  </si>
  <si>
    <t>Лабораторія</t>
  </si>
  <si>
    <t>Всього по 1 поверху:</t>
  </si>
  <si>
    <t>Веранда</t>
  </si>
  <si>
    <t>Топкова</t>
  </si>
  <si>
    <t>Всього по цокольному
 поверху:</t>
  </si>
  <si>
    <r>
      <t>_</t>
    </r>
    <r>
      <rPr>
        <i/>
        <u/>
        <sz val="14"/>
        <rFont val="Times New Roman"/>
        <family val="1"/>
        <charset val="204"/>
      </rPr>
      <t>Лабораторія</t>
    </r>
    <r>
      <rPr>
        <i/>
        <sz val="14"/>
        <rFont val="Times New Roman"/>
        <family val="1"/>
        <charset val="204"/>
      </rPr>
      <t>_ літера "_</t>
    </r>
    <r>
      <rPr>
        <i/>
        <u/>
        <sz val="14"/>
        <rFont val="Times New Roman"/>
        <family val="1"/>
        <charset val="204"/>
      </rPr>
      <t>Б</t>
    </r>
    <r>
      <rPr>
        <i/>
        <sz val="14"/>
        <rFont val="Times New Roman"/>
        <family val="1"/>
        <charset val="204"/>
      </rPr>
      <t>_"</t>
    </r>
  </si>
  <si>
    <t xml:space="preserve">Тамбур </t>
  </si>
  <si>
    <r>
      <t>_</t>
    </r>
    <r>
      <rPr>
        <i/>
        <u/>
        <sz val="14"/>
        <rFont val="Times New Roman"/>
        <family val="1"/>
        <charset val="204"/>
      </rPr>
      <t>Терапевтичне відділення</t>
    </r>
    <r>
      <rPr>
        <i/>
        <sz val="14"/>
        <rFont val="Times New Roman"/>
        <family val="1"/>
        <charset val="204"/>
      </rPr>
      <t>_ літера "_В_"</t>
    </r>
  </si>
  <si>
    <t>Д</t>
  </si>
  <si>
    <r>
      <t>_</t>
    </r>
    <r>
      <rPr>
        <i/>
        <u/>
        <sz val="14"/>
        <rFont val="Times New Roman"/>
        <family val="1"/>
        <charset val="204"/>
      </rPr>
      <t>Санпропусник</t>
    </r>
    <r>
      <rPr>
        <i/>
        <sz val="14"/>
        <rFont val="Times New Roman"/>
        <family val="1"/>
        <charset val="204"/>
      </rPr>
      <t>_ літера "_Д_"</t>
    </r>
  </si>
  <si>
    <t>Приймальна</t>
  </si>
  <si>
    <t>Дезкамера</t>
  </si>
  <si>
    <t>Е</t>
  </si>
  <si>
    <t>Вхід в підвал</t>
  </si>
  <si>
    <t>Підвал</t>
  </si>
  <si>
    <r>
      <t>_</t>
    </r>
    <r>
      <rPr>
        <i/>
        <u/>
        <sz val="14"/>
        <rFont val="Times New Roman"/>
        <family val="1"/>
        <charset val="204"/>
      </rPr>
      <t>Овочесховище</t>
    </r>
    <r>
      <rPr>
        <i/>
        <sz val="14"/>
        <rFont val="Times New Roman"/>
        <family val="1"/>
        <charset val="204"/>
      </rPr>
      <t>_ літера "_Е_"</t>
    </r>
  </si>
  <si>
    <t>Ізолятор</t>
  </si>
  <si>
    <r>
      <t>_</t>
    </r>
    <r>
      <rPr>
        <i/>
        <u/>
        <sz val="14"/>
        <rFont val="Times New Roman"/>
        <family val="1"/>
        <charset val="204"/>
      </rPr>
      <t>Гаражі</t>
    </r>
    <r>
      <rPr>
        <i/>
        <sz val="14"/>
        <rFont val="Times New Roman"/>
        <family val="1"/>
        <charset val="204"/>
      </rPr>
      <t>_ літера "_К_"</t>
    </r>
  </si>
  <si>
    <t>К</t>
  </si>
  <si>
    <t>Приміщення водіїв</t>
  </si>
  <si>
    <t>З</t>
  </si>
  <si>
    <t>Морг</t>
  </si>
  <si>
    <r>
      <t>_</t>
    </r>
    <r>
      <rPr>
        <i/>
        <u/>
        <sz val="14"/>
        <rFont val="Times New Roman"/>
        <family val="1"/>
        <charset val="204"/>
      </rPr>
      <t>Морг</t>
    </r>
    <r>
      <rPr>
        <i/>
        <sz val="14"/>
        <rFont val="Times New Roman"/>
        <family val="1"/>
        <charset val="204"/>
      </rPr>
      <t>_ літера "_З_"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</si>
</sst>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  <charset val="204"/>
    </font>
    <font>
      <i/>
      <vertAlign val="superscript"/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</font>
    <font>
      <i/>
      <sz val="12"/>
      <color indexed="62"/>
      <name val="Arial"/>
      <family val="2"/>
      <charset val="204"/>
    </font>
    <font>
      <i/>
      <sz val="11"/>
      <color indexed="8"/>
      <name val="Calisto MT"/>
      <family val="1"/>
    </font>
    <font>
      <b/>
      <i/>
      <sz val="10"/>
      <name val="Calisto MT"/>
      <family val="1"/>
    </font>
    <font>
      <b/>
      <i/>
      <sz val="16"/>
      <name val="Calisto MT"/>
      <family val="1"/>
    </font>
    <font>
      <i/>
      <sz val="11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1"/>
      <color indexed="8"/>
      <name val="Calisto MT"/>
      <family val="1"/>
    </font>
    <font>
      <i/>
      <u/>
      <sz val="11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N10" sqref="N10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70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4" t="s">
        <v>71</v>
      </c>
      <c r="B15" s="4" t="s">
        <v>16</v>
      </c>
      <c r="C15" s="4"/>
      <c r="D15" s="4">
        <v>1</v>
      </c>
      <c r="E15" s="8" t="s">
        <v>25</v>
      </c>
      <c r="F15" s="6">
        <f>ROUND(7.43*4.76,1)</f>
        <v>35.4</v>
      </c>
      <c r="G15" s="6">
        <f>ROUND(7.43*4.76,1)</f>
        <v>35.4</v>
      </c>
      <c r="H15" s="6"/>
      <c r="I15" s="10"/>
      <c r="J15" s="10"/>
      <c r="K15" s="10"/>
    </row>
    <row r="16" spans="1:11" ht="15.75">
      <c r="A16" s="1"/>
      <c r="B16" s="4"/>
      <c r="C16" s="4"/>
      <c r="D16" s="4">
        <v>2</v>
      </c>
      <c r="E16" s="8" t="s">
        <v>25</v>
      </c>
      <c r="F16" s="6">
        <f>ROUND(7.15*4.4,1)</f>
        <v>31.5</v>
      </c>
      <c r="G16" s="6">
        <f>ROUND(7.15*4.4,1)</f>
        <v>31.5</v>
      </c>
      <c r="H16" s="6"/>
      <c r="I16" s="10"/>
      <c r="J16" s="10"/>
      <c r="K16" s="10"/>
    </row>
    <row r="17" spans="1:12" ht="15.75">
      <c r="A17" s="1"/>
      <c r="B17" s="4"/>
      <c r="C17" s="4"/>
      <c r="D17" s="4">
        <v>3</v>
      </c>
      <c r="E17" s="8" t="s">
        <v>25</v>
      </c>
      <c r="F17" s="6">
        <f>ROUND(7.16*4.4,1)</f>
        <v>31.5</v>
      </c>
      <c r="G17" s="6">
        <f>ROUND(7.16*4.4,1)</f>
        <v>31.5</v>
      </c>
      <c r="H17" s="6"/>
      <c r="I17" s="10"/>
      <c r="J17" s="10"/>
      <c r="K17" s="10"/>
    </row>
    <row r="18" spans="1:12" ht="15.75">
      <c r="A18" s="1"/>
      <c r="B18" s="4"/>
      <c r="C18" s="4"/>
      <c r="D18" s="4">
        <v>4</v>
      </c>
      <c r="E18" s="8" t="s">
        <v>72</v>
      </c>
      <c r="F18" s="6">
        <f>ROUND(4.09*3,1)</f>
        <v>12.3</v>
      </c>
      <c r="G18" s="6"/>
      <c r="H18" s="6">
        <f>ROUND(4.09*3,1)</f>
        <v>12.3</v>
      </c>
      <c r="I18" s="10"/>
      <c r="J18" s="10"/>
      <c r="K18" s="10"/>
    </row>
    <row r="19" spans="1:12" ht="15.75">
      <c r="A19" s="1"/>
      <c r="B19" s="4"/>
      <c r="C19" s="4"/>
      <c r="D19" s="4">
        <v>5</v>
      </c>
      <c r="E19" s="8" t="s">
        <v>41</v>
      </c>
      <c r="F19" s="6">
        <f>ROUND(3.86*4.98,1)</f>
        <v>19.2</v>
      </c>
      <c r="G19" s="6"/>
      <c r="H19" s="6">
        <f>ROUND(3.86*4.98,1)</f>
        <v>19.2</v>
      </c>
      <c r="I19" s="10"/>
      <c r="J19" s="10"/>
      <c r="K19" s="10"/>
    </row>
    <row r="20" spans="1:12" ht="15.75">
      <c r="A20" s="1"/>
      <c r="B20" s="4"/>
      <c r="C20" s="4"/>
      <c r="D20" s="4">
        <v>6</v>
      </c>
      <c r="E20" s="8" t="s">
        <v>41</v>
      </c>
      <c r="F20" s="6">
        <f>ROUND(6.84*4.98,1)</f>
        <v>34.1</v>
      </c>
      <c r="G20" s="6"/>
      <c r="H20" s="6">
        <f>ROUND(6.84*4.98,1)</f>
        <v>34.1</v>
      </c>
      <c r="I20" s="10"/>
      <c r="J20" s="10"/>
      <c r="K20" s="10"/>
    </row>
    <row r="21" spans="1:12" ht="15.75">
      <c r="A21" s="1"/>
      <c r="B21" s="4"/>
      <c r="C21" s="4"/>
      <c r="D21" s="4"/>
      <c r="E21" s="8"/>
      <c r="F21" s="6"/>
      <c r="G21" s="6"/>
      <c r="H21" s="6"/>
      <c r="I21" s="10"/>
      <c r="J21" s="10"/>
      <c r="K21" s="10"/>
    </row>
    <row r="22" spans="1:12" ht="15.75">
      <c r="A22" s="1"/>
      <c r="B22" s="4"/>
      <c r="C22" s="4"/>
      <c r="D22" s="4"/>
      <c r="E22" s="8"/>
      <c r="F22" s="6"/>
      <c r="G22" s="6"/>
      <c r="H22" s="6"/>
      <c r="I22" s="10"/>
      <c r="J22" s="10"/>
      <c r="K22" s="10"/>
    </row>
    <row r="23" spans="1:12" ht="15.75">
      <c r="A23" s="18" t="s">
        <v>4</v>
      </c>
      <c r="B23" s="18"/>
      <c r="C23" s="18"/>
      <c r="D23" s="18"/>
      <c r="E23" s="18"/>
      <c r="F23" s="9">
        <f>SUM(F15:F22)</f>
        <v>164</v>
      </c>
      <c r="G23" s="9">
        <f>SUM(G15:G20)</f>
        <v>98.4</v>
      </c>
      <c r="H23" s="9">
        <f>SUM(H18:H22)</f>
        <v>65.599999999999994</v>
      </c>
      <c r="I23" s="10"/>
      <c r="J23" s="10"/>
      <c r="K23" s="10"/>
      <c r="L23" s="2"/>
    </row>
    <row r="24" spans="1:1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19" t="s">
        <v>31</v>
      </c>
      <c r="B25" s="19"/>
      <c r="C25" s="19"/>
      <c r="D25" s="19"/>
      <c r="E25" s="19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mergeCells count="21">
    <mergeCell ref="A6:K6"/>
    <mergeCell ref="A1:K1"/>
    <mergeCell ref="A2:K2"/>
    <mergeCell ref="A3:K3"/>
    <mergeCell ref="A4:K4"/>
    <mergeCell ref="A5:K5"/>
    <mergeCell ref="A25:E25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23:E23"/>
  </mergeCells>
  <phoneticPr fontId="0" type="noConversion"/>
  <pageMargins left="0.70866141732283472" right="0.11811023622047245" top="0.74803149606299213" bottom="0.74803149606299213" header="0.31496062992125984" footer="0.31496062992125984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I19" sqref="I19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75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4" t="s">
        <v>73</v>
      </c>
      <c r="B15" s="4" t="s">
        <v>16</v>
      </c>
      <c r="C15" s="4"/>
      <c r="D15" s="4">
        <v>1</v>
      </c>
      <c r="E15" s="8" t="s">
        <v>74</v>
      </c>
      <c r="F15" s="6">
        <f>ROUND(3.05*3.67,1)</f>
        <v>11.2</v>
      </c>
      <c r="G15" s="6">
        <f>ROUND(3.05*3.67,1)</f>
        <v>11.2</v>
      </c>
      <c r="H15" s="6"/>
      <c r="I15" s="10"/>
      <c r="J15" s="10"/>
      <c r="K15" s="10"/>
    </row>
    <row r="16" spans="1:11" ht="15.75">
      <c r="A16" s="1"/>
      <c r="B16" s="4"/>
      <c r="C16" s="4"/>
      <c r="D16" s="4"/>
      <c r="E16" s="8"/>
      <c r="F16" s="6"/>
      <c r="G16" s="6"/>
      <c r="H16" s="6"/>
      <c r="I16" s="10"/>
      <c r="J16" s="10"/>
      <c r="K16" s="10"/>
    </row>
    <row r="17" spans="1:12" ht="15.75">
      <c r="A17" s="1"/>
      <c r="B17" s="4"/>
      <c r="C17" s="4"/>
      <c r="D17" s="4"/>
      <c r="E17" s="8"/>
      <c r="F17" s="6"/>
      <c r="G17" s="6"/>
      <c r="H17" s="6"/>
      <c r="I17" s="10"/>
      <c r="J17" s="10"/>
      <c r="K17" s="10"/>
    </row>
    <row r="18" spans="1:12" ht="15.75">
      <c r="A18" s="1"/>
      <c r="B18" s="4"/>
      <c r="C18" s="4"/>
      <c r="D18" s="4"/>
      <c r="E18" s="8"/>
      <c r="F18" s="6"/>
      <c r="G18" s="6"/>
      <c r="H18" s="6"/>
      <c r="I18" s="10"/>
      <c r="J18" s="10"/>
      <c r="K18" s="10"/>
    </row>
    <row r="19" spans="1:12" ht="15.75">
      <c r="A19" s="1"/>
      <c r="B19" s="4"/>
      <c r="C19" s="4"/>
      <c r="D19" s="4"/>
      <c r="E19" s="8"/>
      <c r="F19" s="6"/>
      <c r="G19" s="6"/>
      <c r="H19" s="6"/>
      <c r="I19" s="10"/>
      <c r="J19" s="10"/>
      <c r="K19" s="10"/>
    </row>
    <row r="20" spans="1:12" ht="15.75">
      <c r="A20" s="1"/>
      <c r="B20" s="4"/>
      <c r="C20" s="4"/>
      <c r="D20" s="4"/>
      <c r="E20" s="8"/>
      <c r="F20" s="6"/>
      <c r="G20" s="6"/>
      <c r="H20" s="6"/>
      <c r="I20" s="10"/>
      <c r="J20" s="10"/>
      <c r="K20" s="10"/>
    </row>
    <row r="21" spans="1:12" ht="15.75">
      <c r="A21" s="10"/>
      <c r="B21" s="10"/>
      <c r="C21" s="10"/>
      <c r="D21" s="10"/>
      <c r="E21" s="10"/>
      <c r="F21" s="7"/>
      <c r="G21" s="7"/>
      <c r="H21" s="7"/>
      <c r="I21" s="10"/>
      <c r="J21" s="10"/>
      <c r="K21" s="10"/>
    </row>
    <row r="22" spans="1:12" ht="15.75">
      <c r="A22" s="18" t="s">
        <v>4</v>
      </c>
      <c r="B22" s="18"/>
      <c r="C22" s="18"/>
      <c r="D22" s="18"/>
      <c r="E22" s="18"/>
      <c r="F22" s="9">
        <f>SUM(F15:F21)</f>
        <v>11.2</v>
      </c>
      <c r="G22" s="9">
        <f>SUM(G15:G21)</f>
        <v>11.2</v>
      </c>
      <c r="H22" s="9"/>
      <c r="I22" s="10"/>
      <c r="J22" s="10"/>
      <c r="K22" s="10"/>
      <c r="L22" s="2"/>
    </row>
    <row r="23" spans="1:1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19" t="s">
        <v>31</v>
      </c>
      <c r="B24" s="19"/>
      <c r="C24" s="19"/>
      <c r="D24" s="19"/>
      <c r="E24" s="19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21">
    <mergeCell ref="A6:K6"/>
    <mergeCell ref="A1:K1"/>
    <mergeCell ref="A2:K2"/>
    <mergeCell ref="A3:K3"/>
    <mergeCell ref="A4:K4"/>
    <mergeCell ref="A5:K5"/>
    <mergeCell ref="A24:E24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22:E22"/>
  </mergeCells>
  <phoneticPr fontId="0" type="noConversion"/>
  <pageMargins left="0.70866141732283472" right="0.11811023622047245" top="0.74803149606299213" bottom="0.74803149606299213" header="0.31496062992125984" footer="0.31496062992125984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opLeftCell="A13" workbookViewId="0">
      <selection activeCell="J20" sqref="J20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4" t="s">
        <v>28</v>
      </c>
      <c r="B15" s="4" t="s">
        <v>16</v>
      </c>
      <c r="C15" s="4"/>
      <c r="D15" s="4">
        <v>1</v>
      </c>
      <c r="E15" s="8" t="s">
        <v>20</v>
      </c>
      <c r="F15" s="6">
        <f>ROUND(0.88*1.64,1)</f>
        <v>1.4</v>
      </c>
      <c r="G15" s="6"/>
      <c r="H15" s="6">
        <f>ROUND(0.88*1.64,1)</f>
        <v>1.4</v>
      </c>
      <c r="I15" s="10"/>
      <c r="J15" s="10"/>
      <c r="K15" s="10"/>
    </row>
    <row r="16" spans="1:11" ht="15.75">
      <c r="A16" s="4"/>
      <c r="B16" s="4"/>
      <c r="C16" s="4"/>
      <c r="D16" s="4">
        <v>2</v>
      </c>
      <c r="E16" s="8" t="s">
        <v>19</v>
      </c>
      <c r="F16" s="6">
        <f>ROUND(1.48*1.66,1)</f>
        <v>2.5</v>
      </c>
      <c r="G16" s="6"/>
      <c r="H16" s="6">
        <f>ROUND(1.48*1.66,1)</f>
        <v>2.5</v>
      </c>
      <c r="I16" s="10"/>
      <c r="J16" s="10"/>
      <c r="K16" s="10"/>
    </row>
    <row r="17" spans="1:12" ht="15.75">
      <c r="A17" s="4"/>
      <c r="B17" s="4"/>
      <c r="C17" s="4"/>
      <c r="D17" s="4">
        <v>3</v>
      </c>
      <c r="E17" s="8" t="s">
        <v>69</v>
      </c>
      <c r="F17" s="6">
        <f>ROUND(2.55*3.18-0.49*0.96,1)</f>
        <v>7.6</v>
      </c>
      <c r="G17" s="6">
        <f>ROUND(2.55*3.18-0.49*0.96,1)</f>
        <v>7.6</v>
      </c>
      <c r="H17" s="6"/>
      <c r="I17" s="10"/>
      <c r="J17" s="10"/>
      <c r="K17" s="10"/>
    </row>
    <row r="18" spans="1:12" ht="15.75">
      <c r="A18" s="4"/>
      <c r="B18" s="4"/>
      <c r="C18" s="4"/>
      <c r="D18" s="4">
        <v>4</v>
      </c>
      <c r="E18" s="8" t="s">
        <v>19</v>
      </c>
      <c r="F18" s="6">
        <f>ROUND(2.15*16.88,1)</f>
        <v>36.299999999999997</v>
      </c>
      <c r="G18" s="6"/>
      <c r="H18" s="6">
        <f>ROUND(2.15*16.88,1)</f>
        <v>36.299999999999997</v>
      </c>
      <c r="I18" s="10"/>
      <c r="J18" s="10"/>
      <c r="K18" s="10"/>
    </row>
    <row r="19" spans="1:12" ht="15.75">
      <c r="A19" s="4"/>
      <c r="B19" s="4"/>
      <c r="C19" s="4"/>
      <c r="D19" s="4">
        <v>5</v>
      </c>
      <c r="E19" s="8" t="s">
        <v>48</v>
      </c>
      <c r="F19" s="6">
        <f>ROUND(3.34*2.73-0.76*0.33,1)</f>
        <v>8.9</v>
      </c>
      <c r="G19" s="6">
        <f>ROUND(3.34*2.73-0.76*0.33,1)</f>
        <v>8.9</v>
      </c>
      <c r="H19" s="6"/>
      <c r="I19" s="10"/>
      <c r="J19" s="10"/>
      <c r="K19" s="10"/>
    </row>
    <row r="20" spans="1:12" ht="15.75">
      <c r="A20" s="4"/>
      <c r="B20" s="4"/>
      <c r="C20" s="4"/>
      <c r="D20" s="4">
        <v>6</v>
      </c>
      <c r="E20" s="8" t="s">
        <v>48</v>
      </c>
      <c r="F20" s="6">
        <f>ROUND(3.34*5.29-0.74*0.23,1)</f>
        <v>17.5</v>
      </c>
      <c r="G20" s="6">
        <f>ROUND(3.34*5.29-0.74*0.23,1)</f>
        <v>17.5</v>
      </c>
      <c r="H20" s="6"/>
      <c r="I20" s="10"/>
      <c r="J20" s="10"/>
      <c r="K20" s="10"/>
    </row>
    <row r="21" spans="1:12" ht="15.75">
      <c r="A21" s="4"/>
      <c r="B21" s="4"/>
      <c r="C21" s="4"/>
      <c r="D21" s="4">
        <v>7</v>
      </c>
      <c r="E21" s="8" t="s">
        <v>48</v>
      </c>
      <c r="F21" s="6">
        <f>ROUND(3.34*5.24-0.72*0.26,1)</f>
        <v>17.3</v>
      </c>
      <c r="G21" s="6">
        <f>ROUND(3.34*5.24-0.72*0.26,1)</f>
        <v>17.3</v>
      </c>
      <c r="H21" s="6"/>
      <c r="I21" s="10"/>
      <c r="J21" s="10"/>
      <c r="K21" s="10"/>
    </row>
    <row r="22" spans="1:12" ht="15.75">
      <c r="A22" s="4"/>
      <c r="B22" s="4"/>
      <c r="C22" s="4"/>
      <c r="D22" s="4">
        <v>8</v>
      </c>
      <c r="E22" s="8" t="s">
        <v>48</v>
      </c>
      <c r="F22" s="6">
        <f>ROUND(3.28*2.77-0.74*0.31,1)</f>
        <v>8.9</v>
      </c>
      <c r="G22" s="6">
        <f>ROUND(3.28*2.77-0.74*0.31,1)</f>
        <v>8.9</v>
      </c>
      <c r="H22" s="6"/>
      <c r="I22" s="10"/>
      <c r="J22" s="10"/>
      <c r="K22" s="10"/>
    </row>
    <row r="23" spans="1:12" ht="15.75">
      <c r="A23" s="4"/>
      <c r="B23" s="4"/>
      <c r="C23" s="4"/>
      <c r="D23" s="4">
        <v>9</v>
      </c>
      <c r="E23" s="8" t="s">
        <v>51</v>
      </c>
      <c r="F23" s="6">
        <f>ROUND(2.54*1.98-0.72*0.53,1)</f>
        <v>4.5999999999999996</v>
      </c>
      <c r="G23" s="6">
        <f>ROUND(2.54*1.98-0.72*0.53,1)</f>
        <v>4.5999999999999996</v>
      </c>
      <c r="H23" s="6"/>
      <c r="I23" s="10"/>
      <c r="J23" s="10"/>
      <c r="K23" s="10"/>
    </row>
    <row r="24" spans="1:12" ht="15.75">
      <c r="A24" s="4"/>
      <c r="B24" s="4"/>
      <c r="C24" s="4"/>
      <c r="D24" s="4">
        <v>10</v>
      </c>
      <c r="E24" s="8" t="s">
        <v>19</v>
      </c>
      <c r="F24" s="6">
        <f>ROUND(2.55*1.63-0.74*0.1,1)</f>
        <v>4.0999999999999996</v>
      </c>
      <c r="G24" s="6"/>
      <c r="H24" s="6">
        <f>ROUND(2.55*1.63-0.74*0.1,1)</f>
        <v>4.0999999999999996</v>
      </c>
      <c r="I24" s="10"/>
      <c r="J24" s="10"/>
      <c r="K24" s="10"/>
    </row>
    <row r="25" spans="1:12" ht="15.75">
      <c r="A25" s="4"/>
      <c r="B25" s="4"/>
      <c r="C25" s="4"/>
      <c r="D25" s="4">
        <v>11</v>
      </c>
      <c r="E25" s="8" t="s">
        <v>21</v>
      </c>
      <c r="F25" s="6">
        <f>ROUND(2.72*1.48,1)</f>
        <v>4</v>
      </c>
      <c r="G25" s="6"/>
      <c r="H25" s="6">
        <f>ROUND(2.72*1.48,1)</f>
        <v>4</v>
      </c>
      <c r="I25" s="10"/>
      <c r="J25" s="10"/>
      <c r="K25" s="10"/>
    </row>
    <row r="26" spans="1:12" ht="15.75">
      <c r="A26" s="4"/>
      <c r="B26" s="4"/>
      <c r="C26" s="4"/>
      <c r="D26" s="4">
        <v>12</v>
      </c>
      <c r="E26" s="8" t="s">
        <v>52</v>
      </c>
      <c r="F26" s="6">
        <f>ROUND(2.53*2.54,1)</f>
        <v>6.4</v>
      </c>
      <c r="G26" s="6"/>
      <c r="H26" s="6">
        <f>ROUND(2.53*2.54,1)</f>
        <v>6.4</v>
      </c>
      <c r="I26" s="10"/>
      <c r="J26" s="10"/>
      <c r="K26" s="10"/>
    </row>
    <row r="27" spans="1:12" ht="15.75">
      <c r="A27" s="1"/>
      <c r="B27" s="4"/>
      <c r="C27" s="4"/>
      <c r="D27" s="4">
        <v>13</v>
      </c>
      <c r="E27" s="8" t="s">
        <v>50</v>
      </c>
      <c r="F27" s="6">
        <f>ROUND(2.56*3.01,1)</f>
        <v>7.7</v>
      </c>
      <c r="G27" s="6">
        <f>ROUND(2.56*3.01,1)</f>
        <v>7.7</v>
      </c>
      <c r="H27" s="6"/>
      <c r="I27" s="10"/>
      <c r="J27" s="10"/>
      <c r="K27" s="10"/>
    </row>
    <row r="28" spans="1:12" ht="15.75">
      <c r="A28" s="1"/>
      <c r="B28" s="4"/>
      <c r="C28" s="4"/>
      <c r="D28" s="4"/>
      <c r="E28" s="8"/>
      <c r="F28" s="6"/>
      <c r="G28" s="6"/>
      <c r="H28" s="6"/>
      <c r="I28" s="10"/>
      <c r="J28" s="10"/>
      <c r="K28" s="10"/>
    </row>
    <row r="29" spans="1:12" ht="15.75">
      <c r="A29" s="18" t="s">
        <v>4</v>
      </c>
      <c r="B29" s="18"/>
      <c r="C29" s="18"/>
      <c r="D29" s="18"/>
      <c r="E29" s="18"/>
      <c r="F29" s="9">
        <f>SUM(F15:F28)</f>
        <v>127.19999999999999</v>
      </c>
      <c r="G29" s="9">
        <f>SUM(G15:G28)</f>
        <v>72.5</v>
      </c>
      <c r="H29" s="9">
        <f>SUM(H15:H28)</f>
        <v>54.699999999999996</v>
      </c>
      <c r="I29" s="10"/>
      <c r="J29" s="10"/>
      <c r="K29" s="10"/>
      <c r="L29" s="2"/>
    </row>
    <row r="30" spans="1:1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19" t="s">
        <v>31</v>
      </c>
      <c r="B31" s="19"/>
      <c r="C31" s="19"/>
      <c r="D31" s="19"/>
      <c r="E31" s="19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21">
    <mergeCell ref="A6:K6"/>
    <mergeCell ref="A1:K1"/>
    <mergeCell ref="A2:K2"/>
    <mergeCell ref="A3:K3"/>
    <mergeCell ref="A4:K4"/>
    <mergeCell ref="A5:K5"/>
    <mergeCell ref="A31:E31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29:E29"/>
  </mergeCells>
  <phoneticPr fontId="0" type="noConversion"/>
  <pageMargins left="0.70866141732283472" right="0.11811023622047245" top="0.74803149606299213" bottom="0.74803149606299213" header="0.31496062992125984" footer="0.31496062992125984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I20" sqref="I20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68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4" t="s">
        <v>65</v>
      </c>
      <c r="B15" s="4" t="s">
        <v>16</v>
      </c>
      <c r="C15" s="4"/>
      <c r="D15" s="4">
        <v>1</v>
      </c>
      <c r="E15" s="8" t="s">
        <v>66</v>
      </c>
      <c r="F15" s="6">
        <f>ROUND(1.45*3.03,1)</f>
        <v>4.4000000000000004</v>
      </c>
      <c r="G15" s="6"/>
      <c r="H15" s="6">
        <f>ROUND(1.45*3.03,1)</f>
        <v>4.4000000000000004</v>
      </c>
      <c r="I15" s="10"/>
      <c r="J15" s="10"/>
      <c r="K15" s="10"/>
    </row>
    <row r="16" spans="1:11" ht="15.75">
      <c r="A16" s="4"/>
      <c r="B16" s="4"/>
      <c r="C16" s="4"/>
      <c r="D16" s="4">
        <v>2</v>
      </c>
      <c r="E16" s="8" t="s">
        <v>19</v>
      </c>
      <c r="F16" s="6">
        <f>ROUND(1.29*7.7+1.02*0.58+0.95*0.42+
0.98*0.42+0.96*0.42+1.17*0.58+
0.96*0.34+0.95*0.34,1)</f>
        <v>13.1</v>
      </c>
      <c r="G16" s="6"/>
      <c r="H16" s="6">
        <f>ROUND(1.29*7.7+1.02*0.58+0.95*0.42+
0.98*0.42+0.96*0.42+1.17*0.58+
0.96*0.34+0.95*0.34,1)</f>
        <v>13.1</v>
      </c>
      <c r="I16" s="10"/>
      <c r="J16" s="10"/>
      <c r="K16" s="10"/>
    </row>
    <row r="17" spans="1:12" ht="15.75">
      <c r="A17" s="1"/>
      <c r="B17" s="4"/>
      <c r="C17" s="4"/>
      <c r="D17" s="4">
        <v>3</v>
      </c>
      <c r="E17" s="8" t="s">
        <v>67</v>
      </c>
      <c r="F17" s="6">
        <f>ROUND(2.66*7.7,1)</f>
        <v>20.5</v>
      </c>
      <c r="G17" s="6">
        <f>ROUND(2.66*7.7,1)</f>
        <v>20.5</v>
      </c>
      <c r="H17" s="6"/>
      <c r="I17" s="10"/>
      <c r="J17" s="10"/>
      <c r="K17" s="10"/>
    </row>
    <row r="18" spans="1:12" ht="15.75">
      <c r="A18" s="1"/>
      <c r="B18" s="4"/>
      <c r="C18" s="4"/>
      <c r="D18" s="4">
        <v>4</v>
      </c>
      <c r="E18" s="8" t="s">
        <v>67</v>
      </c>
      <c r="F18" s="6">
        <f>ROUND(7.46*4.2,1)</f>
        <v>31.3</v>
      </c>
      <c r="G18" s="6">
        <f>ROUND(7.46*4.2,1)</f>
        <v>31.3</v>
      </c>
      <c r="H18" s="6"/>
      <c r="I18" s="10"/>
      <c r="J18" s="10"/>
      <c r="K18" s="10"/>
    </row>
    <row r="19" spans="1:12" ht="15.75">
      <c r="A19" s="1"/>
      <c r="B19" s="4"/>
      <c r="C19" s="4"/>
      <c r="D19" s="4">
        <v>5</v>
      </c>
      <c r="E19" s="8" t="s">
        <v>67</v>
      </c>
      <c r="F19" s="6">
        <f>ROUND(2.75*7.6,1)</f>
        <v>20.9</v>
      </c>
      <c r="G19" s="6">
        <f>ROUND(2.75*7.6,1)</f>
        <v>20.9</v>
      </c>
      <c r="H19" s="6"/>
      <c r="I19" s="10"/>
      <c r="J19" s="10"/>
      <c r="K19" s="10"/>
    </row>
    <row r="20" spans="1:12" ht="15.75">
      <c r="A20" s="1"/>
      <c r="B20" s="4"/>
      <c r="C20" s="4"/>
      <c r="D20" s="4"/>
      <c r="E20" s="8"/>
      <c r="F20" s="6"/>
      <c r="G20" s="6"/>
      <c r="H20" s="6"/>
      <c r="I20" s="10"/>
      <c r="J20" s="10"/>
      <c r="K20" s="10"/>
    </row>
    <row r="21" spans="1:12" ht="15.75">
      <c r="A21" s="10"/>
      <c r="B21" s="10"/>
      <c r="C21" s="10"/>
      <c r="D21" s="10"/>
      <c r="E21" s="10"/>
      <c r="F21" s="7"/>
      <c r="G21" s="7"/>
      <c r="H21" s="7"/>
      <c r="I21" s="10"/>
      <c r="J21" s="10"/>
      <c r="K21" s="10"/>
    </row>
    <row r="22" spans="1:12" ht="15.75">
      <c r="A22" s="18" t="s">
        <v>4</v>
      </c>
      <c r="B22" s="18"/>
      <c r="C22" s="18"/>
      <c r="D22" s="18"/>
      <c r="E22" s="18"/>
      <c r="F22" s="9">
        <f>SUM(F15:F21)</f>
        <v>90.199999999999989</v>
      </c>
      <c r="G22" s="9">
        <f>SUM(G15:G21)</f>
        <v>72.699999999999989</v>
      </c>
      <c r="H22" s="9">
        <f>SUM(H15:H21)</f>
        <v>17.5</v>
      </c>
      <c r="I22" s="10"/>
      <c r="J22" s="10"/>
      <c r="K22" s="10"/>
      <c r="L22" s="2"/>
    </row>
    <row r="23" spans="1:1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19" t="s">
        <v>31</v>
      </c>
      <c r="B24" s="19"/>
      <c r="C24" s="19"/>
      <c r="D24" s="19"/>
      <c r="E24" s="19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21">
    <mergeCell ref="A6:K6"/>
    <mergeCell ref="A1:K1"/>
    <mergeCell ref="A2:K2"/>
    <mergeCell ref="A3:K3"/>
    <mergeCell ref="A4:K4"/>
    <mergeCell ref="A5:K5"/>
    <mergeCell ref="A24:E24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22:E22"/>
  </mergeCells>
  <phoneticPr fontId="0" type="noConversion"/>
  <pageMargins left="0.70866141732283472" right="0.11811023622047245" top="0.74803149606299213" bottom="0.74803149606299213" header="0.31496062992125984" footer="0.31496062992125984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F8" sqref="F8:F13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4" t="s">
        <v>61</v>
      </c>
      <c r="B15" s="4" t="s">
        <v>16</v>
      </c>
      <c r="C15" s="4"/>
      <c r="D15" s="4">
        <v>1</v>
      </c>
      <c r="E15" s="8" t="s">
        <v>63</v>
      </c>
      <c r="F15" s="6">
        <f>ROUND(5.96*2.18,1)</f>
        <v>13</v>
      </c>
      <c r="G15" s="6">
        <f>ROUND(5.96*2.18,1)</f>
        <v>13</v>
      </c>
      <c r="H15" s="6"/>
      <c r="I15" s="10"/>
      <c r="J15" s="10"/>
      <c r="K15" s="10"/>
    </row>
    <row r="16" spans="1:11" ht="15.75">
      <c r="A16" s="4"/>
      <c r="B16" s="4"/>
      <c r="C16" s="4"/>
      <c r="D16" s="4">
        <v>2</v>
      </c>
      <c r="E16" s="8" t="s">
        <v>39</v>
      </c>
      <c r="F16" s="6">
        <f>ROUND(3.6*2.65,1)</f>
        <v>9.5</v>
      </c>
      <c r="G16" s="6">
        <f>ROUND(3.6*2.65,1)</f>
        <v>9.5</v>
      </c>
      <c r="H16" s="6"/>
      <c r="I16" s="10"/>
      <c r="J16" s="10"/>
      <c r="K16" s="10"/>
    </row>
    <row r="17" spans="1:12" ht="15.75">
      <c r="A17" s="1"/>
      <c r="B17" s="4"/>
      <c r="C17" s="4"/>
      <c r="D17" s="4">
        <v>3</v>
      </c>
      <c r="E17" s="8" t="s">
        <v>38</v>
      </c>
      <c r="F17" s="6">
        <f>ROUND(2.02*2.58,1)</f>
        <v>5.2</v>
      </c>
      <c r="G17" s="6"/>
      <c r="H17" s="6">
        <f>ROUND(2.02*2.58,1)</f>
        <v>5.2</v>
      </c>
      <c r="I17" s="10"/>
      <c r="J17" s="10"/>
      <c r="K17" s="10"/>
    </row>
    <row r="18" spans="1:12" ht="15.75">
      <c r="A18" s="1"/>
      <c r="B18" s="4"/>
      <c r="C18" s="4"/>
      <c r="D18" s="4">
        <v>4</v>
      </c>
      <c r="E18" s="8" t="s">
        <v>64</v>
      </c>
      <c r="F18" s="6">
        <f>ROUND(2.64*5.09,1)</f>
        <v>13.4</v>
      </c>
      <c r="G18" s="6">
        <f>ROUND(2.64*5.09,1)</f>
        <v>13.4</v>
      </c>
      <c r="H18" s="6"/>
      <c r="I18" s="10"/>
      <c r="J18" s="10"/>
      <c r="K18" s="10"/>
    </row>
    <row r="19" spans="1:12" ht="15.75">
      <c r="A19" s="1"/>
      <c r="B19" s="4"/>
      <c r="C19" s="4"/>
      <c r="D19" s="4"/>
      <c r="E19" s="8"/>
      <c r="F19" s="6"/>
      <c r="G19" s="6"/>
      <c r="H19" s="6"/>
      <c r="I19" s="10"/>
      <c r="J19" s="10"/>
      <c r="K19" s="10"/>
    </row>
    <row r="20" spans="1:12" ht="15.75">
      <c r="A20" s="1"/>
      <c r="B20" s="4"/>
      <c r="C20" s="4"/>
      <c r="D20" s="4"/>
      <c r="E20" s="8"/>
      <c r="F20" s="6"/>
      <c r="G20" s="6"/>
      <c r="H20" s="6"/>
      <c r="I20" s="10"/>
      <c r="J20" s="10"/>
      <c r="K20" s="10"/>
    </row>
    <row r="21" spans="1:12" ht="15.75">
      <c r="A21" s="10"/>
      <c r="B21" s="10"/>
      <c r="C21" s="10"/>
      <c r="D21" s="10"/>
      <c r="E21" s="10"/>
      <c r="F21" s="7"/>
      <c r="G21" s="7"/>
      <c r="H21" s="7"/>
      <c r="I21" s="10"/>
      <c r="J21" s="10"/>
      <c r="K21" s="10"/>
    </row>
    <row r="22" spans="1:12" ht="15.75">
      <c r="A22" s="18" t="s">
        <v>4</v>
      </c>
      <c r="B22" s="18"/>
      <c r="C22" s="18"/>
      <c r="D22" s="18"/>
      <c r="E22" s="18"/>
      <c r="F22" s="9">
        <f>SUM(F15:F21)</f>
        <v>41.1</v>
      </c>
      <c r="G22" s="9">
        <f>SUM(G15:G21)</f>
        <v>35.9</v>
      </c>
      <c r="H22" s="9">
        <f>SUM(H15:H21)</f>
        <v>5.2</v>
      </c>
      <c r="I22" s="10"/>
      <c r="J22" s="10"/>
      <c r="K22" s="10"/>
      <c r="L22" s="2"/>
    </row>
    <row r="23" spans="1:1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19" t="s">
        <v>31</v>
      </c>
      <c r="B24" s="19"/>
      <c r="C24" s="19"/>
      <c r="D24" s="19"/>
      <c r="E24" s="19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21">
    <mergeCell ref="A6:K6"/>
    <mergeCell ref="A1:K1"/>
    <mergeCell ref="A2:K2"/>
    <mergeCell ref="A3:K3"/>
    <mergeCell ref="A4:K4"/>
    <mergeCell ref="A5:K5"/>
    <mergeCell ref="A24:E24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22:E22"/>
  </mergeCells>
  <phoneticPr fontId="0" type="noConversion"/>
  <pageMargins left="0.70866141732283472" right="0.11811023622047245" top="0.74803149606299213" bottom="0.74803149606299213" header="0.31496062992125984" footer="0.31496062992125984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G24" sqref="G24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1" t="s">
        <v>27</v>
      </c>
      <c r="B15" s="1" t="s">
        <v>16</v>
      </c>
      <c r="C15" s="1"/>
      <c r="D15" s="4">
        <v>1</v>
      </c>
      <c r="E15" s="8" t="s">
        <v>21</v>
      </c>
      <c r="F15" s="6">
        <f>ROUND(1.33*1.31,1)</f>
        <v>1.7</v>
      </c>
      <c r="G15" s="6">
        <f>ROUND(1.33*1.31,1)</f>
        <v>1.7</v>
      </c>
      <c r="H15" s="6"/>
      <c r="I15" s="1"/>
      <c r="J15" s="1"/>
      <c r="K15" s="1"/>
    </row>
    <row r="16" spans="1:11" ht="15.75">
      <c r="A16" s="1"/>
      <c r="B16" s="1"/>
      <c r="C16" s="1"/>
      <c r="D16" s="4">
        <v>2</v>
      </c>
      <c r="E16" s="8" t="s">
        <v>21</v>
      </c>
      <c r="F16" s="6">
        <f>ROUND(1.33*1.4,1)</f>
        <v>1.9</v>
      </c>
      <c r="G16" s="6">
        <f>ROUND(1.33*1.4,1)</f>
        <v>1.9</v>
      </c>
      <c r="H16" s="6"/>
      <c r="I16" s="1"/>
      <c r="J16" s="1"/>
      <c r="K16" s="1"/>
    </row>
    <row r="17" spans="1:12" ht="15.75">
      <c r="A17" s="1"/>
      <c r="B17" s="1"/>
      <c r="C17" s="1"/>
      <c r="D17" s="4"/>
      <c r="E17" s="8"/>
      <c r="F17" s="6"/>
      <c r="G17" s="6"/>
      <c r="H17" s="6"/>
      <c r="I17" s="1"/>
      <c r="J17" s="1"/>
      <c r="K17" s="1"/>
    </row>
    <row r="18" spans="1:12" ht="15.75">
      <c r="A18" s="1"/>
      <c r="B18" s="1"/>
      <c r="C18" s="1"/>
      <c r="D18" s="4"/>
      <c r="E18" s="8"/>
      <c r="F18" s="6"/>
      <c r="G18" s="6"/>
      <c r="H18" s="6"/>
      <c r="I18" s="1"/>
      <c r="J18" s="1"/>
      <c r="K18" s="1"/>
    </row>
    <row r="19" spans="1:12" ht="15.75">
      <c r="A19" s="1"/>
      <c r="B19" s="1"/>
      <c r="C19" s="1"/>
      <c r="D19" s="4"/>
      <c r="E19" s="8"/>
      <c r="F19" s="9"/>
      <c r="G19" s="9"/>
      <c r="H19" s="9"/>
      <c r="I19" s="1"/>
      <c r="J19" s="1"/>
      <c r="K19" s="1"/>
    </row>
    <row r="20" spans="1:12" ht="15.75">
      <c r="A20" s="1"/>
      <c r="B20" s="4"/>
      <c r="C20" s="4"/>
      <c r="D20" s="4"/>
      <c r="E20" s="8"/>
      <c r="F20" s="6"/>
      <c r="G20" s="6"/>
      <c r="H20" s="6"/>
      <c r="I20" s="10"/>
      <c r="J20" s="10"/>
      <c r="K20" s="10"/>
    </row>
    <row r="21" spans="1:12" ht="15.75">
      <c r="A21" s="10"/>
      <c r="B21" s="10"/>
      <c r="C21" s="10"/>
      <c r="D21" s="10"/>
      <c r="E21" s="10"/>
      <c r="F21" s="7"/>
      <c r="G21" s="7"/>
      <c r="H21" s="7"/>
      <c r="I21" s="10"/>
      <c r="J21" s="10"/>
      <c r="K21" s="10"/>
    </row>
    <row r="22" spans="1:12" ht="15.75">
      <c r="A22" s="18" t="s">
        <v>4</v>
      </c>
      <c r="B22" s="18"/>
      <c r="C22" s="18"/>
      <c r="D22" s="18"/>
      <c r="E22" s="18"/>
      <c r="F22" s="9">
        <f>SUM(F15:F21)</f>
        <v>3.5999999999999996</v>
      </c>
      <c r="G22" s="9">
        <f>SUM(G15:G21)</f>
        <v>3.5999999999999996</v>
      </c>
      <c r="H22" s="9"/>
      <c r="I22" s="10"/>
      <c r="J22" s="10"/>
      <c r="K22" s="10"/>
      <c r="L22" s="2"/>
    </row>
    <row r="23" spans="1:1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19" t="s">
        <v>31</v>
      </c>
      <c r="B24" s="19"/>
      <c r="C24" s="19"/>
      <c r="D24" s="19"/>
      <c r="E24" s="19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21">
    <mergeCell ref="A6:K6"/>
    <mergeCell ref="A1:K1"/>
    <mergeCell ref="A2:K2"/>
    <mergeCell ref="A3:K3"/>
    <mergeCell ref="A4:K4"/>
    <mergeCell ref="A5:K5"/>
    <mergeCell ref="A24:E24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22:E22"/>
  </mergeCells>
  <phoneticPr fontId="0" type="noConversion"/>
  <pageMargins left="0.70866141732283472" right="0.11811023622047245" top="0.74803149606299213" bottom="0.74803149606299213" header="0.31496062992125984" footer="0.31496062992125984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topLeftCell="A7" workbookViewId="0">
      <selection activeCell="J26" sqref="J26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4" t="s">
        <v>23</v>
      </c>
      <c r="B15" s="4" t="s">
        <v>16</v>
      </c>
      <c r="C15" s="4"/>
      <c r="D15" s="4">
        <v>1</v>
      </c>
      <c r="E15" s="8" t="s">
        <v>59</v>
      </c>
      <c r="F15" s="6">
        <f>ROUND(2.57*1.35,1)</f>
        <v>3.5</v>
      </c>
      <c r="G15" s="6"/>
      <c r="H15" s="6">
        <f>ROUND(2.57*1.35,1)</f>
        <v>3.5</v>
      </c>
      <c r="I15" s="10"/>
      <c r="J15" s="10"/>
      <c r="K15" s="10"/>
    </row>
    <row r="16" spans="1:11" ht="15.75">
      <c r="A16" s="1"/>
      <c r="B16" s="4"/>
      <c r="C16" s="4"/>
      <c r="D16" s="4">
        <v>2</v>
      </c>
      <c r="E16" s="8" t="s">
        <v>19</v>
      </c>
      <c r="F16" s="6">
        <f>ROUND(2.57*3.25+0.26*1.19,1)</f>
        <v>8.6999999999999993</v>
      </c>
      <c r="G16" s="6"/>
      <c r="H16" s="6">
        <f>ROUND(2.57*3.25+0.26*1.19,1)</f>
        <v>8.6999999999999993</v>
      </c>
      <c r="I16" s="10"/>
      <c r="J16" s="10"/>
      <c r="K16" s="10"/>
    </row>
    <row r="17" spans="1:12" ht="15.75">
      <c r="A17" s="1"/>
      <c r="B17" s="4"/>
      <c r="C17" s="4"/>
      <c r="D17" s="4">
        <v>3</v>
      </c>
      <c r="E17" s="8" t="s">
        <v>19</v>
      </c>
      <c r="F17" s="6">
        <f>ROUND(19.16*1.47,1)</f>
        <v>28.2</v>
      </c>
      <c r="G17" s="6"/>
      <c r="H17" s="6">
        <f>ROUND(19.16*1.47,1)</f>
        <v>28.2</v>
      </c>
      <c r="I17" s="10"/>
      <c r="J17" s="10"/>
      <c r="K17" s="10"/>
    </row>
    <row r="18" spans="1:12" ht="15.75">
      <c r="A18" s="1"/>
      <c r="B18" s="4"/>
      <c r="C18" s="4"/>
      <c r="D18" s="4">
        <v>4</v>
      </c>
      <c r="E18" s="8" t="s">
        <v>49</v>
      </c>
      <c r="F18" s="6">
        <f>ROUND(3.85*4.77-0.67*0.76,1)</f>
        <v>17.899999999999999</v>
      </c>
      <c r="G18" s="6">
        <f>ROUND(3.85*4.77-0.67*0.76,1)</f>
        <v>17.899999999999999</v>
      </c>
      <c r="H18" s="6"/>
      <c r="I18" s="10"/>
      <c r="J18" s="10"/>
      <c r="K18" s="10"/>
    </row>
    <row r="19" spans="1:12" ht="15.75">
      <c r="A19" s="1"/>
      <c r="B19" s="4"/>
      <c r="C19" s="4"/>
      <c r="D19" s="4">
        <v>5</v>
      </c>
      <c r="E19" s="8" t="s">
        <v>52</v>
      </c>
      <c r="F19" s="6">
        <f>ROUND(2.58*4.77-1.03*1.77,1)</f>
        <v>10.5</v>
      </c>
      <c r="G19" s="6"/>
      <c r="H19" s="6">
        <f>ROUND(2.58*4.77-1.03*1.77,1)</f>
        <v>10.5</v>
      </c>
      <c r="I19" s="10"/>
      <c r="J19" s="10"/>
      <c r="K19" s="10"/>
    </row>
    <row r="20" spans="1:12" ht="15.75">
      <c r="A20" s="1"/>
      <c r="B20" s="4"/>
      <c r="C20" s="4"/>
      <c r="D20" s="4">
        <v>6</v>
      </c>
      <c r="E20" s="8" t="s">
        <v>21</v>
      </c>
      <c r="F20" s="6">
        <f>ROUND(0.92*1.67,1)</f>
        <v>1.5</v>
      </c>
      <c r="G20" s="6"/>
      <c r="H20" s="6">
        <f>ROUND(0.92*1.67,1)</f>
        <v>1.5</v>
      </c>
      <c r="I20" s="10"/>
      <c r="J20" s="10"/>
      <c r="K20" s="10"/>
    </row>
    <row r="21" spans="1:12" ht="15.75">
      <c r="A21" s="1"/>
      <c r="B21" s="4"/>
      <c r="C21" s="4"/>
      <c r="D21" s="4">
        <v>7</v>
      </c>
      <c r="E21" s="8" t="s">
        <v>59</v>
      </c>
      <c r="F21" s="6">
        <f>ROUND(1.4*1.6,1)</f>
        <v>2.2000000000000002</v>
      </c>
      <c r="G21" s="6"/>
      <c r="H21" s="6">
        <f>ROUND(1.4*1.6,1)</f>
        <v>2.2000000000000002</v>
      </c>
      <c r="I21" s="10"/>
      <c r="J21" s="10"/>
      <c r="K21" s="10"/>
    </row>
    <row r="22" spans="1:12" ht="15.75">
      <c r="A22" s="1"/>
      <c r="B22" s="4"/>
      <c r="C22" s="4"/>
      <c r="D22" s="4">
        <v>8</v>
      </c>
      <c r="E22" s="8" t="s">
        <v>26</v>
      </c>
      <c r="F22" s="6">
        <f>ROUND(1.61*1.88,1)</f>
        <v>3</v>
      </c>
      <c r="G22" s="6"/>
      <c r="H22" s="6">
        <f>ROUND(1.61*1.88,1)</f>
        <v>3</v>
      </c>
      <c r="I22" s="10"/>
      <c r="J22" s="10"/>
      <c r="K22" s="10"/>
    </row>
    <row r="23" spans="1:12" ht="15.75">
      <c r="A23" s="1"/>
      <c r="B23" s="4"/>
      <c r="C23" s="4"/>
      <c r="D23" s="4">
        <v>9</v>
      </c>
      <c r="E23" s="8" t="s">
        <v>50</v>
      </c>
      <c r="F23" s="6">
        <f>ROUND(4.62*3.38-0.29*1.42,1)</f>
        <v>15.2</v>
      </c>
      <c r="G23" s="6">
        <f>ROUND(4.62*3.38-0.29*1.42,1)</f>
        <v>15.2</v>
      </c>
      <c r="I23" s="10"/>
      <c r="J23" s="10"/>
      <c r="K23" s="10"/>
    </row>
    <row r="24" spans="1:12" ht="15.75">
      <c r="A24" s="1"/>
      <c r="B24" s="4"/>
      <c r="C24" s="4"/>
      <c r="D24" s="4">
        <v>10</v>
      </c>
      <c r="E24" s="8" t="s">
        <v>51</v>
      </c>
      <c r="F24" s="6">
        <f>ROUND(2.85*3.39-0.12*1.01,1)</f>
        <v>9.5</v>
      </c>
      <c r="G24" s="6">
        <f>ROUND(2.85*3.39-0.12*1.01,1)</f>
        <v>9.5</v>
      </c>
      <c r="H24" s="6"/>
      <c r="I24" s="10"/>
      <c r="J24" s="10"/>
      <c r="K24" s="10"/>
    </row>
    <row r="25" spans="1:12" ht="15.75">
      <c r="A25" s="1"/>
      <c r="B25" s="4"/>
      <c r="C25" s="4"/>
      <c r="D25" s="4">
        <v>11</v>
      </c>
      <c r="E25" s="8" t="s">
        <v>48</v>
      </c>
      <c r="F25" s="6">
        <f>ROUND(4.93*3.41-0.25*1.01-0.38*1.44,1)</f>
        <v>16</v>
      </c>
      <c r="G25" s="6">
        <f>ROUND(4.93*3.41-0.25*1.01-0.38*1.44,1)</f>
        <v>16</v>
      </c>
      <c r="H25" s="6"/>
      <c r="I25" s="10"/>
      <c r="J25" s="10"/>
      <c r="K25" s="10"/>
    </row>
    <row r="26" spans="1:12" ht="15.75">
      <c r="A26" s="1"/>
      <c r="B26" s="4"/>
      <c r="C26" s="4"/>
      <c r="D26" s="4">
        <v>12</v>
      </c>
      <c r="E26" s="8" t="s">
        <v>48</v>
      </c>
      <c r="F26" s="6">
        <f>ROUND(4.29*3.45,1)</f>
        <v>14.8</v>
      </c>
      <c r="G26" s="6">
        <f>ROUND(4.29*3.45,1)</f>
        <v>14.8</v>
      </c>
      <c r="H26" s="6"/>
      <c r="I26" s="10"/>
      <c r="J26" s="10"/>
      <c r="K26" s="10"/>
    </row>
    <row r="27" spans="1:12" ht="15.75">
      <c r="A27" s="1"/>
      <c r="B27" s="4"/>
      <c r="C27" s="4"/>
      <c r="D27" s="4">
        <v>13</v>
      </c>
      <c r="E27" s="8" t="s">
        <v>48</v>
      </c>
      <c r="F27" s="6">
        <f>ROUND(3.81*4.76-0.19*1.57,1)</f>
        <v>17.8</v>
      </c>
      <c r="G27" s="6">
        <f>ROUND(3.81*4.76-0.19*1.57,1)</f>
        <v>17.8</v>
      </c>
      <c r="H27" s="6"/>
      <c r="I27" s="10"/>
      <c r="J27" s="10"/>
      <c r="K27" s="10"/>
    </row>
    <row r="28" spans="1:12" ht="15.75">
      <c r="A28" s="1"/>
      <c r="B28" s="4"/>
      <c r="C28" s="4"/>
      <c r="D28" s="4">
        <v>14</v>
      </c>
      <c r="E28" s="8" t="s">
        <v>48</v>
      </c>
      <c r="F28" s="6">
        <f>ROUND(5.42*4.78-0.18*1.58,1)</f>
        <v>25.6</v>
      </c>
      <c r="G28" s="6">
        <f>ROUND(5.42*4.78-0.18*1.58,1)</f>
        <v>25.6</v>
      </c>
      <c r="H28" s="6"/>
      <c r="I28" s="10"/>
      <c r="J28" s="10"/>
      <c r="K28" s="10"/>
    </row>
    <row r="29" spans="1:12" ht="15.75">
      <c r="A29" s="1"/>
      <c r="B29" s="4"/>
      <c r="C29" s="4"/>
      <c r="D29" s="4"/>
      <c r="E29" s="8"/>
      <c r="F29" s="6"/>
      <c r="G29" s="6"/>
      <c r="H29" s="6"/>
      <c r="I29" s="10"/>
      <c r="J29" s="10"/>
      <c r="K29" s="10"/>
    </row>
    <row r="30" spans="1:12" ht="15.75">
      <c r="A30" s="18" t="s">
        <v>4</v>
      </c>
      <c r="B30" s="18"/>
      <c r="C30" s="18"/>
      <c r="D30" s="18"/>
      <c r="E30" s="18"/>
      <c r="F30" s="9">
        <f>SUM(F15:F29)</f>
        <v>174.4</v>
      </c>
      <c r="G30" s="9">
        <f>SUM(G15:G29)</f>
        <v>116.79999999999998</v>
      </c>
      <c r="H30" s="9">
        <f>SUM(H15:H29)</f>
        <v>57.6</v>
      </c>
      <c r="I30" s="10"/>
      <c r="J30" s="10"/>
      <c r="K30" s="10"/>
      <c r="L30" s="2"/>
    </row>
    <row r="31" spans="1:1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19" t="s">
        <v>31</v>
      </c>
      <c r="B32" s="19"/>
      <c r="C32" s="19"/>
      <c r="D32" s="19"/>
      <c r="E32" s="19"/>
      <c r="F32" s="2"/>
      <c r="G32" s="2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21">
    <mergeCell ref="A6:K6"/>
    <mergeCell ref="A1:K1"/>
    <mergeCell ref="A2:K2"/>
    <mergeCell ref="A3:K3"/>
    <mergeCell ref="A4:K4"/>
    <mergeCell ref="A5:K5"/>
    <mergeCell ref="A32:E32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30:E30"/>
  </mergeCells>
  <phoneticPr fontId="0" type="noConversion"/>
  <pageMargins left="0.70866141732283472" right="0.11811023622047245" top="0.74803149606299213" bottom="0.74803149606299213" header="0.31496062992125984" footer="0.31496062992125984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G17" sqref="G17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4" t="s">
        <v>24</v>
      </c>
      <c r="B15" s="4">
        <v>1</v>
      </c>
      <c r="C15" s="4"/>
      <c r="D15" s="4">
        <v>1</v>
      </c>
      <c r="E15" s="8" t="s">
        <v>55</v>
      </c>
      <c r="F15" s="6">
        <f>ROUND(2.51*4.9,1)</f>
        <v>12.3</v>
      </c>
      <c r="G15" s="6"/>
      <c r="H15" s="6">
        <f>ROUND(2.51*4.9,1)</f>
        <v>12.3</v>
      </c>
      <c r="I15" s="10"/>
      <c r="J15" s="10"/>
      <c r="K15" s="10"/>
    </row>
    <row r="16" spans="1:11" ht="15.75">
      <c r="A16" s="4"/>
      <c r="B16" s="4"/>
      <c r="C16" s="4"/>
      <c r="D16" s="4">
        <v>2</v>
      </c>
      <c r="E16" s="8" t="s">
        <v>19</v>
      </c>
      <c r="F16" s="6">
        <f>ROUND(7.86*1.83+0.16*1.12,1)</f>
        <v>14.6</v>
      </c>
      <c r="G16" s="6"/>
      <c r="H16" s="6">
        <f>ROUND(7.86*1.83+0.16*1.12,1)</f>
        <v>14.6</v>
      </c>
      <c r="I16" s="10"/>
      <c r="J16" s="10"/>
      <c r="K16" s="10"/>
    </row>
    <row r="17" spans="1:12" ht="15.75">
      <c r="A17" s="4"/>
      <c r="B17" s="4"/>
      <c r="C17" s="4"/>
      <c r="D17" s="4">
        <v>3</v>
      </c>
      <c r="E17" s="8" t="s">
        <v>53</v>
      </c>
      <c r="F17" s="6">
        <f>ROUND(4.25*3.31-0.2*1.56-0.21*0.12,1)</f>
        <v>13.7</v>
      </c>
      <c r="G17" s="6">
        <f>ROUND(4.25*3.31-0.2*1.56-0.21*0.12,1)</f>
        <v>13.7</v>
      </c>
      <c r="H17" s="6"/>
      <c r="I17" s="10"/>
      <c r="J17" s="10"/>
      <c r="K17" s="10"/>
    </row>
    <row r="18" spans="1:12" ht="15.75">
      <c r="A18" s="4"/>
      <c r="B18" s="4"/>
      <c r="C18" s="4"/>
      <c r="D18" s="4">
        <v>4</v>
      </c>
      <c r="E18" s="8" t="s">
        <v>38</v>
      </c>
      <c r="F18" s="6">
        <f>ROUND(3.35*3.38,1)</f>
        <v>11.3</v>
      </c>
      <c r="H18" s="6">
        <f>ROUND(3.35*3.38,1)</f>
        <v>11.3</v>
      </c>
      <c r="I18" s="10"/>
      <c r="J18" s="10"/>
      <c r="K18" s="10"/>
    </row>
    <row r="19" spans="1:12" ht="15.75">
      <c r="A19" s="4"/>
      <c r="B19" s="4"/>
      <c r="C19" s="4"/>
      <c r="D19" s="4">
        <v>5</v>
      </c>
      <c r="E19" s="8" t="s">
        <v>56</v>
      </c>
      <c r="F19" s="6">
        <f>ROUND(2.69*2.61-1.38*0.12,1)</f>
        <v>6.9</v>
      </c>
      <c r="G19" s="6"/>
      <c r="H19" s="6">
        <f>ROUND(2.69*2.61-1.38*0.12,1)</f>
        <v>6.9</v>
      </c>
      <c r="I19" s="10"/>
      <c r="J19" s="10"/>
      <c r="K19" s="10"/>
    </row>
    <row r="20" spans="1:12" ht="15.75">
      <c r="A20" s="4"/>
      <c r="B20" s="4"/>
      <c r="C20" s="4"/>
      <c r="D20" s="4">
        <v>6</v>
      </c>
      <c r="E20" s="8" t="s">
        <v>55</v>
      </c>
      <c r="F20" s="6">
        <f>ROUND(2.72*2.56,1)</f>
        <v>7</v>
      </c>
      <c r="G20" s="6"/>
      <c r="H20" s="6">
        <f>ROUND(2.72*2.56,1)</f>
        <v>7</v>
      </c>
      <c r="I20" s="10"/>
      <c r="J20" s="10"/>
      <c r="K20" s="10"/>
    </row>
    <row r="21" spans="1:12" ht="15.75">
      <c r="A21" s="4"/>
      <c r="B21" s="4"/>
      <c r="C21" s="4"/>
      <c r="D21" s="4">
        <v>7</v>
      </c>
      <c r="E21" s="8" t="s">
        <v>53</v>
      </c>
      <c r="F21" s="6">
        <f>ROUND(3.33*5.35,1)</f>
        <v>17.8</v>
      </c>
      <c r="G21" s="6">
        <f>ROUND(3.33*5.35,1)</f>
        <v>17.8</v>
      </c>
      <c r="H21" s="6"/>
      <c r="I21" s="10"/>
      <c r="J21" s="10"/>
      <c r="K21" s="10"/>
    </row>
    <row r="22" spans="1:12" ht="15.75">
      <c r="A22" s="4"/>
      <c r="B22" s="4"/>
      <c r="C22" s="4"/>
      <c r="D22" s="4">
        <v>8</v>
      </c>
      <c r="E22" s="8" t="s">
        <v>53</v>
      </c>
      <c r="F22" s="6">
        <f>ROUND(4.19*5.5-0.12*1.43,1)</f>
        <v>22.9</v>
      </c>
      <c r="G22" s="6">
        <f>ROUND(4.19*5.5-0.12*1.43,1)</f>
        <v>22.9</v>
      </c>
      <c r="H22" s="6"/>
      <c r="I22" s="10"/>
      <c r="J22" s="10"/>
      <c r="K22" s="10"/>
    </row>
    <row r="23" spans="1:12" ht="15.75">
      <c r="A23" s="4"/>
      <c r="B23" s="4"/>
      <c r="C23" s="4"/>
      <c r="D23" s="4"/>
      <c r="E23" s="8"/>
      <c r="F23" s="6"/>
      <c r="G23" s="6"/>
      <c r="H23" s="6"/>
      <c r="I23" s="10"/>
      <c r="J23" s="10"/>
      <c r="K23" s="10"/>
    </row>
    <row r="24" spans="1:12" ht="15.75">
      <c r="A24" s="4"/>
      <c r="B24" s="4"/>
      <c r="C24" s="4"/>
      <c r="D24" s="4"/>
      <c r="E24" s="8"/>
      <c r="F24" s="6"/>
      <c r="G24" s="6"/>
      <c r="H24" s="6"/>
      <c r="I24" s="10"/>
      <c r="J24" s="10"/>
      <c r="K24" s="10"/>
    </row>
    <row r="25" spans="1:12" ht="15.75">
      <c r="A25" s="4"/>
      <c r="B25" s="4"/>
      <c r="C25" s="4"/>
      <c r="D25" s="4"/>
      <c r="E25" s="8"/>
      <c r="F25" s="6"/>
      <c r="G25" s="6"/>
      <c r="H25" s="6"/>
      <c r="I25" s="10"/>
      <c r="J25" s="10"/>
      <c r="K25" s="10"/>
    </row>
    <row r="26" spans="1:12" ht="15.75">
      <c r="A26" s="1"/>
      <c r="B26" s="4"/>
      <c r="C26" s="4"/>
      <c r="D26" s="4"/>
      <c r="E26" s="8"/>
      <c r="F26" s="6"/>
      <c r="G26" s="6"/>
      <c r="H26" s="6"/>
      <c r="I26" s="10"/>
      <c r="J26" s="10"/>
      <c r="K26" s="10"/>
    </row>
    <row r="27" spans="1:12" ht="15.75">
      <c r="A27" s="18" t="s">
        <v>4</v>
      </c>
      <c r="B27" s="18"/>
      <c r="C27" s="18"/>
      <c r="D27" s="18"/>
      <c r="E27" s="18"/>
      <c r="F27" s="9">
        <f>SUM(F15:F26)</f>
        <v>106.49999999999997</v>
      </c>
      <c r="G27" s="9">
        <f>SUM(G15:G26)</f>
        <v>54.4</v>
      </c>
      <c r="H27" s="9">
        <f>SUM(H15:H26)</f>
        <v>52.1</v>
      </c>
      <c r="I27" s="10"/>
      <c r="J27" s="10"/>
      <c r="K27" s="10"/>
      <c r="L27" s="2"/>
    </row>
    <row r="28" spans="1:12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19" t="s">
        <v>31</v>
      </c>
      <c r="B29" s="19"/>
      <c r="C29" s="19"/>
      <c r="D29" s="19"/>
      <c r="E29" s="19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21">
    <mergeCell ref="A29:E29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27:E27"/>
    <mergeCell ref="A6:K6"/>
    <mergeCell ref="A1:K1"/>
    <mergeCell ref="A2:K2"/>
    <mergeCell ref="A3:K3"/>
    <mergeCell ref="A4:K4"/>
    <mergeCell ref="A5:K5"/>
  </mergeCells>
  <phoneticPr fontId="0" type="noConversion"/>
  <pageMargins left="0.70866141732283472" right="0.11811023622047245" top="0.74803149606299213" bottom="0.74803149606299213" header="0.31496062992125984" footer="0.31496062992125984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G57" sqref="G57"/>
    </sheetView>
  </sheetViews>
  <sheetFormatPr defaultRowHeight="15"/>
  <cols>
    <col min="1" max="1" width="5.85546875" customWidth="1"/>
    <col min="2" max="2" width="5.140625" customWidth="1"/>
    <col min="3" max="3" width="6.28515625" customWidth="1"/>
    <col min="4" max="4" width="5.28515625" customWidth="1"/>
    <col min="5" max="5" width="23" customWidth="1"/>
    <col min="7" max="7" width="7" customWidth="1"/>
    <col min="8" max="8" width="7.140625" customWidth="1"/>
    <col min="9" max="9" width="7.85546875" customWidth="1"/>
    <col min="11" max="11" width="6.1406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1.5" customHeight="1">
      <c r="A8" s="21" t="s">
        <v>1</v>
      </c>
      <c r="B8" s="21" t="s">
        <v>2</v>
      </c>
      <c r="C8" s="12" t="s">
        <v>5</v>
      </c>
      <c r="D8" s="21" t="s">
        <v>6</v>
      </c>
      <c r="E8" s="22" t="s">
        <v>13</v>
      </c>
      <c r="F8" s="12" t="s">
        <v>11</v>
      </c>
      <c r="G8" s="25" t="s">
        <v>12</v>
      </c>
      <c r="H8" s="25"/>
      <c r="I8" s="25"/>
      <c r="J8" s="25"/>
      <c r="K8" s="12" t="s">
        <v>3</v>
      </c>
    </row>
    <row r="9" spans="1:11" ht="32.25" customHeight="1">
      <c r="A9" s="14"/>
      <c r="B9" s="14"/>
      <c r="C9" s="14"/>
      <c r="D9" s="14"/>
      <c r="E9" s="23"/>
      <c r="F9" s="12"/>
      <c r="G9" s="25"/>
      <c r="H9" s="25"/>
      <c r="I9" s="25"/>
      <c r="J9" s="25"/>
      <c r="K9" s="12"/>
    </row>
    <row r="10" spans="1:11" ht="37.5" customHeight="1">
      <c r="A10" s="14"/>
      <c r="B10" s="14"/>
      <c r="C10" s="14"/>
      <c r="D10" s="14"/>
      <c r="E10" s="23"/>
      <c r="F10" s="12"/>
      <c r="G10" s="12" t="s">
        <v>9</v>
      </c>
      <c r="H10" s="12" t="s">
        <v>7</v>
      </c>
      <c r="I10" s="15" t="s">
        <v>8</v>
      </c>
      <c r="J10" s="12" t="s">
        <v>10</v>
      </c>
      <c r="K10" s="12"/>
    </row>
    <row r="11" spans="1:11">
      <c r="A11" s="14"/>
      <c r="B11" s="14"/>
      <c r="C11" s="14"/>
      <c r="D11" s="14"/>
      <c r="E11" s="23"/>
      <c r="F11" s="12"/>
      <c r="G11" s="13"/>
      <c r="H11" s="14"/>
      <c r="I11" s="16"/>
      <c r="J11" s="14"/>
      <c r="K11" s="12"/>
    </row>
    <row r="12" spans="1:11">
      <c r="A12" s="14"/>
      <c r="B12" s="14"/>
      <c r="C12" s="14"/>
      <c r="D12" s="14"/>
      <c r="E12" s="23"/>
      <c r="F12" s="12"/>
      <c r="G12" s="13"/>
      <c r="H12" s="14"/>
      <c r="I12" s="16"/>
      <c r="J12" s="14"/>
      <c r="K12" s="12"/>
    </row>
    <row r="13" spans="1:11" ht="15.75" customHeight="1">
      <c r="A13" s="14"/>
      <c r="B13" s="14"/>
      <c r="C13" s="14"/>
      <c r="D13" s="14"/>
      <c r="E13" s="24"/>
      <c r="F13" s="12"/>
      <c r="G13" s="13"/>
      <c r="H13" s="14"/>
      <c r="I13" s="17"/>
      <c r="J13" s="14"/>
      <c r="K13" s="12"/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5.75">
      <c r="A15" s="4" t="s">
        <v>17</v>
      </c>
      <c r="B15" s="4" t="s">
        <v>35</v>
      </c>
      <c r="C15" s="4"/>
      <c r="D15" s="4">
        <v>1</v>
      </c>
      <c r="E15" s="4" t="s">
        <v>36</v>
      </c>
      <c r="F15" s="6">
        <f>ROUND(3.03*1.96,1)</f>
        <v>5.9</v>
      </c>
      <c r="G15" s="6"/>
      <c r="H15" s="6">
        <f>ROUND(3.03*1.96,1)</f>
        <v>5.9</v>
      </c>
      <c r="I15" s="1"/>
      <c r="J15" s="1"/>
      <c r="K15" s="1"/>
    </row>
    <row r="16" spans="1:11" ht="15.75">
      <c r="A16" s="4"/>
      <c r="B16" s="4"/>
      <c r="C16" s="4"/>
      <c r="D16" s="4">
        <v>2</v>
      </c>
      <c r="E16" s="4" t="s">
        <v>19</v>
      </c>
      <c r="F16" s="6">
        <f>ROUND(3.05*1.33,1)</f>
        <v>4.0999999999999996</v>
      </c>
      <c r="G16" s="6"/>
      <c r="H16" s="6">
        <f>ROUND(3.05*1.33,1)</f>
        <v>4.0999999999999996</v>
      </c>
      <c r="I16" s="1"/>
      <c r="J16" s="1"/>
      <c r="K16" s="1"/>
    </row>
    <row r="17" spans="1:11" ht="15.75">
      <c r="A17" s="4"/>
      <c r="B17" s="4"/>
      <c r="C17" s="4"/>
      <c r="D17" s="4">
        <v>3</v>
      </c>
      <c r="E17" s="4" t="s">
        <v>37</v>
      </c>
      <c r="F17" s="6">
        <f>ROUND(6.49*3.98,1)</f>
        <v>25.8</v>
      </c>
      <c r="G17" s="6"/>
      <c r="H17" s="6">
        <f>ROUND(6.49*3.98,1)</f>
        <v>25.8</v>
      </c>
      <c r="I17" s="1"/>
      <c r="J17" s="1"/>
      <c r="K17" s="1"/>
    </row>
    <row r="18" spans="1:11" ht="15.75">
      <c r="A18" s="4"/>
      <c r="B18" s="4"/>
      <c r="C18" s="4"/>
      <c r="D18" s="4">
        <v>4</v>
      </c>
      <c r="E18" s="4" t="s">
        <v>38</v>
      </c>
      <c r="F18" s="6">
        <f>ROUND(2.25*3.98,1)</f>
        <v>9</v>
      </c>
      <c r="G18" s="6"/>
      <c r="H18" s="6">
        <f>ROUND(2.25*3.98,1)</f>
        <v>9</v>
      </c>
      <c r="I18" s="1"/>
      <c r="J18" s="1"/>
      <c r="K18" s="1"/>
    </row>
    <row r="19" spans="1:11" ht="15.75">
      <c r="A19" s="4"/>
      <c r="B19" s="4"/>
      <c r="C19" s="4"/>
      <c r="D19" s="4">
        <v>5</v>
      </c>
      <c r="E19" s="4" t="s">
        <v>39</v>
      </c>
      <c r="F19" s="6">
        <f>ROUND(2.95*4.01+0.16*2.3+0.56*0.89,1)</f>
        <v>12.7</v>
      </c>
      <c r="G19" s="6">
        <f>ROUND(2.95*4.01+0.16*2.3+0.56*0.89,1)</f>
        <v>12.7</v>
      </c>
      <c r="H19" s="6"/>
      <c r="I19" s="1"/>
      <c r="J19" s="1"/>
      <c r="K19" s="1"/>
    </row>
    <row r="20" spans="1:11" ht="15.75">
      <c r="A20" s="4"/>
      <c r="B20" s="4"/>
      <c r="C20" s="4"/>
      <c r="D20" s="4">
        <v>6</v>
      </c>
      <c r="E20" s="4" t="s">
        <v>19</v>
      </c>
      <c r="F20" s="6">
        <f>ROUND(1.47*2.85,1)</f>
        <v>4.2</v>
      </c>
      <c r="G20" s="6"/>
      <c r="H20" s="6">
        <f>ROUND(1.47*2.85,1)</f>
        <v>4.2</v>
      </c>
      <c r="I20" s="1"/>
      <c r="J20" s="1"/>
      <c r="K20" s="1"/>
    </row>
    <row r="21" spans="1:11" ht="15.75">
      <c r="A21" s="4"/>
      <c r="B21" s="4"/>
      <c r="C21" s="4"/>
      <c r="D21" s="4">
        <v>7</v>
      </c>
      <c r="E21" s="4" t="s">
        <v>19</v>
      </c>
      <c r="F21" s="6">
        <f>ROUND(1.85*4.01,1)</f>
        <v>7.4</v>
      </c>
      <c r="G21" s="6"/>
      <c r="H21" s="6">
        <f>ROUND(1.85*4.01,1)</f>
        <v>7.4</v>
      </c>
      <c r="I21" s="1"/>
      <c r="J21" s="1"/>
      <c r="K21" s="1"/>
    </row>
    <row r="22" spans="1:11" ht="15.75">
      <c r="A22" s="4"/>
      <c r="B22" s="4"/>
      <c r="C22" s="4"/>
      <c r="D22" s="4">
        <v>8</v>
      </c>
      <c r="E22" s="4" t="s">
        <v>40</v>
      </c>
      <c r="F22" s="6">
        <f>ROUND(7.59*3.97+0.3*1.09,1)</f>
        <v>30.5</v>
      </c>
      <c r="G22" s="6"/>
      <c r="H22" s="6">
        <f>ROUND(7.59*3.97+0.3*1.09,1)</f>
        <v>30.5</v>
      </c>
      <c r="I22" s="1"/>
      <c r="J22" s="1"/>
      <c r="K22" s="1"/>
    </row>
    <row r="23" spans="1:11" ht="15.75">
      <c r="A23" s="4"/>
      <c r="B23" s="4"/>
      <c r="C23" s="4"/>
      <c r="D23" s="4">
        <v>9</v>
      </c>
      <c r="E23" s="4" t="s">
        <v>41</v>
      </c>
      <c r="F23" s="6">
        <f>ROUND(4.59*4.06,1)</f>
        <v>18.600000000000001</v>
      </c>
      <c r="G23" s="6">
        <f>ROUND(4.59*4.06,1)</f>
        <v>18.600000000000001</v>
      </c>
      <c r="H23" s="6"/>
      <c r="I23" s="1"/>
      <c r="J23" s="1"/>
      <c r="K23" s="1"/>
    </row>
    <row r="24" spans="1:11" ht="15.75">
      <c r="A24" s="4"/>
      <c r="B24" s="4"/>
      <c r="C24" s="4"/>
      <c r="D24" s="4">
        <v>10</v>
      </c>
      <c r="E24" s="4" t="s">
        <v>41</v>
      </c>
      <c r="F24" s="6">
        <f>ROUND(1.92*4.06,1)</f>
        <v>7.8</v>
      </c>
      <c r="G24" s="6">
        <f>ROUND(1.92*4.06,1)</f>
        <v>7.8</v>
      </c>
      <c r="H24" s="6"/>
      <c r="I24" s="1"/>
      <c r="J24" s="1"/>
      <c r="K24" s="1"/>
    </row>
    <row r="25" spans="1:11" ht="15.75">
      <c r="A25" s="4"/>
      <c r="B25" s="4"/>
      <c r="C25" s="4"/>
      <c r="D25" s="4">
        <v>11</v>
      </c>
      <c r="E25" s="4" t="s">
        <v>19</v>
      </c>
      <c r="F25" s="6">
        <f>ROUND((1.41+1.35)/2*6.55,1)</f>
        <v>9</v>
      </c>
      <c r="G25" s="6"/>
      <c r="H25" s="6">
        <f>ROUND((1.41+1.35)/2*6.55,1)</f>
        <v>9</v>
      </c>
      <c r="I25" s="1"/>
      <c r="J25" s="1"/>
      <c r="K25" s="1"/>
    </row>
    <row r="26" spans="1:11" ht="15.75">
      <c r="A26" s="4"/>
      <c r="B26" s="4"/>
      <c r="C26" s="4"/>
      <c r="D26" s="4">
        <v>12</v>
      </c>
      <c r="E26" s="4" t="s">
        <v>41</v>
      </c>
      <c r="F26" s="6">
        <f>ROUND(4.41*2.5,1)</f>
        <v>11</v>
      </c>
      <c r="G26" s="6">
        <f>ROUND(4.41*2.5,1)</f>
        <v>11</v>
      </c>
      <c r="H26" s="6"/>
      <c r="I26" s="1"/>
      <c r="J26" s="1"/>
      <c r="K26" s="1"/>
    </row>
    <row r="27" spans="1:11" ht="15.75">
      <c r="A27" s="4"/>
      <c r="B27" s="4"/>
      <c r="C27" s="4"/>
      <c r="D27" s="4">
        <v>13</v>
      </c>
      <c r="E27" s="4" t="s">
        <v>42</v>
      </c>
      <c r="F27" s="6">
        <f>ROUND(1.88*2.5,1)</f>
        <v>4.7</v>
      </c>
      <c r="G27" s="6"/>
      <c r="H27" s="6">
        <f>ROUND(1.88*2.5,1)</f>
        <v>4.7</v>
      </c>
      <c r="I27" s="1"/>
      <c r="J27" s="1"/>
      <c r="K27" s="1"/>
    </row>
    <row r="28" spans="1:11" ht="15.75">
      <c r="A28" s="4"/>
      <c r="B28" s="4"/>
      <c r="C28" s="4"/>
      <c r="D28" s="4">
        <v>14</v>
      </c>
      <c r="E28" s="4" t="s">
        <v>43</v>
      </c>
      <c r="F28" s="6">
        <f>ROUND(7.25*3.95,1)</f>
        <v>28.6</v>
      </c>
      <c r="H28" s="6">
        <f>ROUND(7.25*3.95,1)</f>
        <v>28.6</v>
      </c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30">
      <c r="A30" s="1"/>
      <c r="B30" s="1"/>
      <c r="C30" s="1"/>
      <c r="D30" s="1"/>
      <c r="E30" s="5" t="s">
        <v>57</v>
      </c>
      <c r="F30" s="11">
        <f>SUM(F15:F29)</f>
        <v>179.29999999999998</v>
      </c>
      <c r="G30" s="11">
        <f>SUM(G15:G29)</f>
        <v>50.1</v>
      </c>
      <c r="H30" s="11">
        <f>SUM(H15:H29)</f>
        <v>129.20000000000002</v>
      </c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4" t="s">
        <v>17</v>
      </c>
      <c r="B32" s="4" t="s">
        <v>16</v>
      </c>
      <c r="C32" s="4"/>
      <c r="D32" s="4">
        <v>101</v>
      </c>
      <c r="E32" s="8" t="s">
        <v>19</v>
      </c>
      <c r="F32" s="6">
        <f>ROUND(1.91*3.78,1)</f>
        <v>7.2</v>
      </c>
      <c r="G32" s="6"/>
      <c r="H32" s="6">
        <f>ROUND(1.91*3.78,1)</f>
        <v>7.2</v>
      </c>
      <c r="I32" s="10"/>
      <c r="J32" s="10"/>
      <c r="K32" s="10"/>
    </row>
    <row r="33" spans="1:11" ht="15.75">
      <c r="A33" s="4"/>
      <c r="B33" s="4"/>
      <c r="C33" s="4"/>
      <c r="D33" s="4">
        <v>102</v>
      </c>
      <c r="E33" s="8" t="s">
        <v>44</v>
      </c>
      <c r="F33" s="6">
        <f>ROUND(8.96*3.79,1)</f>
        <v>34</v>
      </c>
      <c r="G33" s="6">
        <f>ROUND(8.96*3.79,1)</f>
        <v>34</v>
      </c>
      <c r="H33" s="6"/>
      <c r="I33" s="10"/>
      <c r="J33" s="10"/>
      <c r="K33" s="10"/>
    </row>
    <row r="34" spans="1:11" ht="15.75">
      <c r="A34" s="4"/>
      <c r="B34" s="4"/>
      <c r="C34" s="4"/>
      <c r="D34" s="4">
        <v>103</v>
      </c>
      <c r="E34" s="8" t="s">
        <v>39</v>
      </c>
      <c r="F34" s="6">
        <f>ROUND(3.28*3.8,1)</f>
        <v>12.5</v>
      </c>
      <c r="G34" s="6">
        <f>ROUND(3.28*3.8,1)</f>
        <v>12.5</v>
      </c>
      <c r="H34" s="6"/>
      <c r="I34" s="10"/>
      <c r="J34" s="10"/>
      <c r="K34" s="10"/>
    </row>
    <row r="35" spans="1:11" ht="15.75">
      <c r="A35" s="4"/>
      <c r="B35" s="4"/>
      <c r="C35" s="4"/>
      <c r="D35" s="4">
        <v>104</v>
      </c>
      <c r="E35" s="8" t="s">
        <v>39</v>
      </c>
      <c r="F35" s="6">
        <f>ROUND(3.36*4.62,1)</f>
        <v>15.5</v>
      </c>
      <c r="G35" s="6">
        <f>ROUND(3.36*4.62,1)</f>
        <v>15.5</v>
      </c>
      <c r="H35" s="6"/>
      <c r="I35" s="10"/>
      <c r="J35" s="10"/>
      <c r="K35" s="10"/>
    </row>
    <row r="36" spans="1:11" ht="15.75">
      <c r="A36" s="4"/>
      <c r="B36" s="4"/>
      <c r="C36" s="4"/>
      <c r="D36" s="4">
        <v>105</v>
      </c>
      <c r="E36" s="8" t="s">
        <v>45</v>
      </c>
      <c r="F36" s="6">
        <f>ROUND(6.81*4.69,1)</f>
        <v>31.9</v>
      </c>
      <c r="G36" s="6">
        <f>ROUND(6.81*4.69,1)</f>
        <v>31.9</v>
      </c>
      <c r="H36" s="6"/>
      <c r="I36" s="10"/>
      <c r="J36" s="10"/>
      <c r="K36" s="10"/>
    </row>
    <row r="37" spans="1:11" ht="15.75">
      <c r="A37" s="4"/>
      <c r="B37" s="4"/>
      <c r="C37" s="4"/>
      <c r="D37" s="4">
        <v>106</v>
      </c>
      <c r="E37" s="8" t="s">
        <v>39</v>
      </c>
      <c r="F37" s="6">
        <f>ROUND(2.08*4.68,1)</f>
        <v>9.6999999999999993</v>
      </c>
      <c r="G37" s="6">
        <f>ROUND(2.08*4.68,1)</f>
        <v>9.6999999999999993</v>
      </c>
      <c r="H37" s="6"/>
      <c r="I37" s="10"/>
      <c r="J37" s="10"/>
      <c r="K37" s="10"/>
    </row>
    <row r="38" spans="1:11" ht="15.75">
      <c r="A38" s="4"/>
      <c r="B38" s="4"/>
      <c r="C38" s="4"/>
      <c r="D38" s="4">
        <v>107</v>
      </c>
      <c r="E38" s="8" t="s">
        <v>19</v>
      </c>
      <c r="F38" s="6">
        <f>ROUND(1.54*2.18,1)</f>
        <v>3.4</v>
      </c>
      <c r="G38" s="6"/>
      <c r="H38" s="6">
        <f>ROUND(1.54*2.18,1)</f>
        <v>3.4</v>
      </c>
      <c r="I38" s="10"/>
      <c r="J38" s="10"/>
      <c r="K38" s="10"/>
    </row>
    <row r="39" spans="1:11" ht="15.75">
      <c r="A39" s="4"/>
      <c r="B39" s="4"/>
      <c r="C39" s="4"/>
      <c r="D39" s="4">
        <v>108</v>
      </c>
      <c r="E39" s="8" t="s">
        <v>39</v>
      </c>
      <c r="F39" s="6">
        <f>ROUND(4.65*2.36,1)</f>
        <v>11</v>
      </c>
      <c r="G39" s="6">
        <f>ROUND(4.65*2.36,1)</f>
        <v>11</v>
      </c>
      <c r="H39" s="6"/>
      <c r="I39" s="10"/>
      <c r="J39" s="10"/>
      <c r="K39" s="10"/>
    </row>
    <row r="40" spans="1:11" ht="15.75">
      <c r="A40" s="4"/>
      <c r="B40" s="4"/>
      <c r="C40" s="4"/>
      <c r="D40" s="4">
        <v>109</v>
      </c>
      <c r="E40" s="8" t="s">
        <v>19</v>
      </c>
      <c r="F40" s="6">
        <f>ROUND(2.87*2.17,1)</f>
        <v>6.2</v>
      </c>
      <c r="G40" s="6"/>
      <c r="H40" s="6">
        <f>ROUND(2.87*2.17,1)</f>
        <v>6.2</v>
      </c>
      <c r="I40" s="10"/>
      <c r="J40" s="10"/>
      <c r="K40" s="10"/>
    </row>
    <row r="41" spans="1:11" ht="15.75">
      <c r="A41" s="4"/>
      <c r="B41" s="4"/>
      <c r="C41" s="4"/>
      <c r="D41" s="4">
        <v>110</v>
      </c>
      <c r="E41" s="8" t="s">
        <v>39</v>
      </c>
      <c r="F41" s="6">
        <f>ROUND(2.72*3.8,1)</f>
        <v>10.3</v>
      </c>
      <c r="G41" s="6">
        <f>ROUND(2.72*3.8,1)</f>
        <v>10.3</v>
      </c>
      <c r="H41" s="6"/>
      <c r="I41" s="10"/>
      <c r="J41" s="10"/>
      <c r="K41" s="10"/>
    </row>
    <row r="42" spans="1:11" ht="15.75">
      <c r="A42" s="4"/>
      <c r="B42" s="4"/>
      <c r="C42" s="4"/>
      <c r="D42" s="4">
        <v>111</v>
      </c>
      <c r="E42" s="8" t="s">
        <v>39</v>
      </c>
      <c r="F42" s="6">
        <f>ROUND(2.68*4.05-0.29*0.28-0.28*0.3,1)</f>
        <v>10.7</v>
      </c>
      <c r="G42" s="6">
        <f>ROUND(2.68*4.05-0.29*0.28-0.28*0.3,1)</f>
        <v>10.7</v>
      </c>
      <c r="H42" s="6"/>
      <c r="I42" s="10"/>
      <c r="J42" s="10"/>
      <c r="K42" s="10"/>
    </row>
    <row r="43" spans="1:11" ht="15.75">
      <c r="A43" s="4"/>
      <c r="B43" s="4"/>
      <c r="C43" s="4"/>
      <c r="D43" s="4">
        <v>112</v>
      </c>
      <c r="E43" s="8" t="s">
        <v>46</v>
      </c>
      <c r="F43" s="6">
        <f>ROUND(4.71*5.05,1)</f>
        <v>23.8</v>
      </c>
      <c r="G43" s="6">
        <f>ROUND(4.71*5.05,1)</f>
        <v>23.8</v>
      </c>
      <c r="H43" s="6"/>
      <c r="I43" s="10"/>
      <c r="J43" s="10"/>
      <c r="K43" s="10"/>
    </row>
    <row r="44" spans="1:11" ht="15.75">
      <c r="A44" s="4"/>
      <c r="B44" s="4"/>
      <c r="C44" s="4"/>
      <c r="D44" s="4">
        <v>113</v>
      </c>
      <c r="E44" s="8" t="s">
        <v>47</v>
      </c>
      <c r="F44" s="6">
        <f>ROUND(4.71*3.02,1)</f>
        <v>14.2</v>
      </c>
      <c r="G44" s="6">
        <f>ROUND(4.71*3.02,1)</f>
        <v>14.2</v>
      </c>
      <c r="H44" s="6"/>
      <c r="I44" s="10"/>
      <c r="J44" s="10"/>
      <c r="K44" s="10"/>
    </row>
    <row r="45" spans="1:11" ht="15.75">
      <c r="A45" s="4"/>
      <c r="B45" s="4"/>
      <c r="C45" s="4"/>
      <c r="D45" s="4">
        <v>114</v>
      </c>
      <c r="E45" s="8" t="s">
        <v>48</v>
      </c>
      <c r="F45" s="6">
        <f>ROUND(4.72*3.64,1)</f>
        <v>17.2</v>
      </c>
      <c r="G45" s="6">
        <f>ROUND(4.72*3.64,1)</f>
        <v>17.2</v>
      </c>
      <c r="H45" s="6"/>
      <c r="I45" s="10"/>
      <c r="J45" s="10"/>
      <c r="K45" s="10"/>
    </row>
    <row r="46" spans="1:11" ht="15.75">
      <c r="A46" s="4"/>
      <c r="B46" s="4"/>
      <c r="C46" s="4"/>
      <c r="D46" s="4">
        <v>115</v>
      </c>
      <c r="E46" s="8" t="s">
        <v>48</v>
      </c>
      <c r="F46" s="6">
        <f>ROUND(4.7*3.59,1)</f>
        <v>16.899999999999999</v>
      </c>
      <c r="G46" s="6">
        <f>ROUND(4.7*3.59,1)</f>
        <v>16.899999999999999</v>
      </c>
      <c r="H46" s="6"/>
      <c r="I46" s="10"/>
      <c r="J46" s="10"/>
      <c r="K46" s="10"/>
    </row>
    <row r="47" spans="1:11" ht="15.75">
      <c r="A47" s="4"/>
      <c r="B47" s="4"/>
      <c r="C47" s="4"/>
      <c r="D47" s="4">
        <v>116</v>
      </c>
      <c r="E47" s="8" t="s">
        <v>48</v>
      </c>
      <c r="F47" s="6">
        <f>ROUND(4.65*5.37,1)</f>
        <v>25</v>
      </c>
      <c r="G47" s="6">
        <f>ROUND(4.65*5.37,1)</f>
        <v>25</v>
      </c>
      <c r="H47" s="6"/>
      <c r="I47" s="10"/>
      <c r="J47" s="10"/>
      <c r="K47" s="10"/>
    </row>
    <row r="48" spans="1:11" ht="15.75">
      <c r="A48" s="4"/>
      <c r="B48" s="4"/>
      <c r="C48" s="4"/>
      <c r="D48" s="4">
        <v>117</v>
      </c>
      <c r="E48" s="8" t="s">
        <v>19</v>
      </c>
      <c r="F48" s="6">
        <f>ROUND(4.69*2.21,1)</f>
        <v>10.4</v>
      </c>
      <c r="G48" s="6"/>
      <c r="H48" s="6">
        <f>ROUND(4.69*2.21,1)</f>
        <v>10.4</v>
      </c>
      <c r="I48" s="10"/>
      <c r="J48" s="10"/>
      <c r="K48" s="10"/>
    </row>
    <row r="49" spans="1:11" ht="15.75">
      <c r="A49" s="4"/>
      <c r="B49" s="4"/>
      <c r="C49" s="4"/>
      <c r="D49" s="4">
        <v>118</v>
      </c>
      <c r="E49" s="8" t="s">
        <v>19</v>
      </c>
      <c r="F49" s="6">
        <f>ROUND(2.71*29.28-0.28*0.57*2,1)</f>
        <v>79</v>
      </c>
      <c r="G49" s="6"/>
      <c r="H49" s="6">
        <f>ROUND(2.71*29.28-0.28*0.57*2,1)</f>
        <v>79</v>
      </c>
      <c r="I49" s="10"/>
      <c r="J49" s="10"/>
      <c r="K49" s="10"/>
    </row>
    <row r="50" spans="1:11" ht="15.75">
      <c r="A50" s="4"/>
      <c r="B50" s="4"/>
      <c r="C50" s="4"/>
      <c r="D50" s="4">
        <v>119</v>
      </c>
      <c r="E50" s="8" t="s">
        <v>48</v>
      </c>
      <c r="F50" s="6">
        <f>ROUND(4.61*5.23,1)</f>
        <v>24.1</v>
      </c>
      <c r="G50" s="6">
        <f>ROUND(4.61*5.23,1)</f>
        <v>24.1</v>
      </c>
      <c r="H50" s="6"/>
      <c r="I50" s="10"/>
      <c r="J50" s="10"/>
      <c r="K50" s="10"/>
    </row>
    <row r="51" spans="1:11" ht="15.75">
      <c r="A51" s="4"/>
      <c r="B51" s="4"/>
      <c r="C51" s="4"/>
      <c r="D51" s="4">
        <v>120</v>
      </c>
      <c r="E51" s="8" t="s">
        <v>48</v>
      </c>
      <c r="F51" s="6">
        <f>ROUND(4.64*3.59,1)</f>
        <v>16.7</v>
      </c>
      <c r="G51" s="6">
        <f>ROUND(4.64*3.59,1)</f>
        <v>16.7</v>
      </c>
      <c r="H51" s="6"/>
      <c r="I51" s="10"/>
      <c r="J51" s="10"/>
      <c r="K51" s="10"/>
    </row>
    <row r="52" spans="1:11" ht="15.75">
      <c r="A52" s="4"/>
      <c r="B52" s="4"/>
      <c r="C52" s="4"/>
      <c r="D52" s="4">
        <v>121</v>
      </c>
      <c r="E52" s="8" t="s">
        <v>49</v>
      </c>
      <c r="F52" s="6">
        <f>ROUND(4.63*3.69,1)</f>
        <v>17.100000000000001</v>
      </c>
      <c r="G52" s="6">
        <f>ROUND(4.63*3.69,1)</f>
        <v>17.100000000000001</v>
      </c>
      <c r="H52" s="6"/>
      <c r="I52" s="10"/>
      <c r="J52" s="10"/>
      <c r="K52" s="10"/>
    </row>
    <row r="53" spans="1:11" ht="15.75">
      <c r="A53" s="4"/>
      <c r="B53" s="4"/>
      <c r="C53" s="4"/>
      <c r="D53" s="4">
        <v>122</v>
      </c>
      <c r="E53" s="8" t="s">
        <v>22</v>
      </c>
      <c r="F53" s="6">
        <f>ROUND(4.79*2.64,1)</f>
        <v>12.6</v>
      </c>
      <c r="G53" s="6"/>
      <c r="H53" s="6">
        <f>ROUND(4.79*2.64,1)</f>
        <v>12.6</v>
      </c>
      <c r="I53" s="10"/>
      <c r="J53" s="10"/>
      <c r="K53" s="10"/>
    </row>
    <row r="54" spans="1:11" ht="15.75">
      <c r="A54" s="4"/>
      <c r="B54" s="4"/>
      <c r="C54" s="4"/>
      <c r="D54" s="4">
        <v>123</v>
      </c>
      <c r="E54" s="8" t="s">
        <v>26</v>
      </c>
      <c r="F54" s="6">
        <f>ROUND(1.7*1.41,1)</f>
        <v>2.4</v>
      </c>
      <c r="G54" s="6"/>
      <c r="H54" s="6">
        <f>ROUND(1.7*1.41,1)</f>
        <v>2.4</v>
      </c>
      <c r="I54" s="10"/>
      <c r="J54" s="10"/>
      <c r="K54" s="10"/>
    </row>
    <row r="55" spans="1:11" ht="15.75">
      <c r="A55" s="4"/>
      <c r="B55" s="4"/>
      <c r="C55" s="4"/>
      <c r="D55" s="4">
        <v>124</v>
      </c>
      <c r="E55" s="8" t="s">
        <v>21</v>
      </c>
      <c r="F55" s="6">
        <f>ROUND(1.33*1.41,1)</f>
        <v>1.9</v>
      </c>
      <c r="G55" s="6"/>
      <c r="H55" s="6">
        <f>ROUND(1.33*1.41,1)</f>
        <v>1.9</v>
      </c>
      <c r="I55" s="10"/>
      <c r="J55" s="10"/>
      <c r="K55" s="10"/>
    </row>
    <row r="56" spans="1:11" ht="15.75">
      <c r="A56" s="4"/>
      <c r="B56" s="4"/>
      <c r="C56" s="4"/>
      <c r="D56" s="4">
        <v>125</v>
      </c>
      <c r="E56" s="8" t="s">
        <v>21</v>
      </c>
      <c r="F56" s="6">
        <f>ROUND(1.39*1.47,1)</f>
        <v>2</v>
      </c>
      <c r="G56" s="6"/>
      <c r="H56" s="6">
        <f>ROUND(1.39*1.47,1)</f>
        <v>2</v>
      </c>
      <c r="I56" s="10"/>
      <c r="J56" s="10"/>
      <c r="K56" s="10"/>
    </row>
    <row r="57" spans="1:11" ht="15.75">
      <c r="A57" s="4"/>
      <c r="B57" s="4"/>
      <c r="C57" s="4"/>
      <c r="D57" s="4">
        <v>126</v>
      </c>
      <c r="E57" s="8" t="s">
        <v>50</v>
      </c>
      <c r="F57" s="6">
        <f>ROUND(5.9*2.56,1)</f>
        <v>15.1</v>
      </c>
      <c r="G57" s="6">
        <f>ROUND(5.9*2.56,1)</f>
        <v>15.1</v>
      </c>
      <c r="I57" s="10"/>
      <c r="J57" s="10"/>
      <c r="K57" s="10"/>
    </row>
    <row r="58" spans="1:11" ht="15.75">
      <c r="A58" s="4"/>
      <c r="B58" s="4"/>
      <c r="C58" s="4"/>
      <c r="D58" s="4">
        <v>127</v>
      </c>
      <c r="E58" s="8" t="s">
        <v>26</v>
      </c>
      <c r="F58" s="6">
        <f>ROUND(1.75*2.25+(1.14+1.44)/2*0.37+
(1.53+1.44)/2*0.29,1)</f>
        <v>4.8</v>
      </c>
      <c r="G58" s="6"/>
      <c r="H58" s="6">
        <f>ROUND(1.75*2.25+(1.14+1.44)/2*0.37+
(1.53+1.44)/2*0.29,1)</f>
        <v>4.8</v>
      </c>
      <c r="I58" s="10"/>
      <c r="J58" s="10"/>
      <c r="K58" s="10"/>
    </row>
    <row r="59" spans="1:11" ht="15.75">
      <c r="A59" s="4"/>
      <c r="B59" s="4"/>
      <c r="C59" s="4"/>
      <c r="D59" s="4">
        <v>128</v>
      </c>
      <c r="E59" s="8" t="s">
        <v>19</v>
      </c>
      <c r="F59" s="6">
        <f>ROUND(2.35*2.53,1)</f>
        <v>5.9</v>
      </c>
      <c r="G59" s="6"/>
      <c r="H59" s="6">
        <f>ROUND(2.35*2.53,1)</f>
        <v>5.9</v>
      </c>
      <c r="I59" s="10"/>
      <c r="J59" s="10"/>
      <c r="K59" s="10"/>
    </row>
    <row r="60" spans="1:11" ht="15.75">
      <c r="A60" s="4"/>
      <c r="B60" s="4"/>
      <c r="C60" s="4"/>
      <c r="D60" s="4">
        <v>129</v>
      </c>
      <c r="E60" s="8" t="s">
        <v>19</v>
      </c>
      <c r="F60" s="6">
        <f>ROUND(10.31*1.45,1)</f>
        <v>14.9</v>
      </c>
      <c r="G60" s="6"/>
      <c r="H60" s="6">
        <f>ROUND(10.31*1.45,1)</f>
        <v>14.9</v>
      </c>
      <c r="I60" s="10"/>
      <c r="J60" s="10"/>
      <c r="K60" s="10"/>
    </row>
    <row r="61" spans="1:11" ht="15.75">
      <c r="A61" s="4"/>
      <c r="B61" s="4"/>
      <c r="C61" s="4"/>
      <c r="D61" s="4">
        <v>130</v>
      </c>
      <c r="E61" s="8" t="s">
        <v>51</v>
      </c>
      <c r="F61" s="6">
        <f>ROUND(2.69*4.18-0.35*0.44,1)</f>
        <v>11.1</v>
      </c>
      <c r="G61" s="6">
        <f>ROUND(2.69*4.18-0.35*0.44,1)</f>
        <v>11.1</v>
      </c>
      <c r="H61" s="6"/>
      <c r="I61" s="10"/>
      <c r="J61" s="10"/>
      <c r="K61" s="10"/>
    </row>
    <row r="62" spans="1:11" ht="15.75">
      <c r="A62" s="4"/>
      <c r="B62" s="4"/>
      <c r="C62" s="4"/>
      <c r="D62" s="4">
        <v>131</v>
      </c>
      <c r="E62" s="8" t="s">
        <v>52</v>
      </c>
      <c r="F62" s="6">
        <f>ROUND(2.52*4.15,1)</f>
        <v>10.5</v>
      </c>
      <c r="G62" s="6"/>
      <c r="H62" s="6">
        <f>ROUND(2.52*4.15,1)</f>
        <v>10.5</v>
      </c>
      <c r="I62" s="10"/>
      <c r="J62" s="10"/>
      <c r="K62" s="10"/>
    </row>
    <row r="63" spans="1:11" ht="15.75">
      <c r="A63" s="4"/>
      <c r="B63" s="4"/>
      <c r="C63" s="4"/>
      <c r="D63" s="4">
        <v>132</v>
      </c>
      <c r="E63" s="8" t="s">
        <v>19</v>
      </c>
      <c r="F63" s="6">
        <f>ROUND(1.45*4.14,1)</f>
        <v>6</v>
      </c>
      <c r="G63" s="6"/>
      <c r="H63" s="6">
        <f>ROUND(1.45*4.14,1)</f>
        <v>6</v>
      </c>
      <c r="I63" s="10"/>
      <c r="J63" s="10"/>
      <c r="K63" s="10"/>
    </row>
    <row r="64" spans="1:11" ht="15.75">
      <c r="A64" s="4"/>
      <c r="B64" s="4"/>
      <c r="C64" s="4"/>
      <c r="D64" s="4">
        <v>133</v>
      </c>
      <c r="E64" s="8" t="s">
        <v>41</v>
      </c>
      <c r="F64" s="6">
        <f>ROUND(2.89*4.19,1)</f>
        <v>12.1</v>
      </c>
      <c r="G64" s="6"/>
      <c r="H64" s="6">
        <f>ROUND(2.89*4.19,1)</f>
        <v>12.1</v>
      </c>
      <c r="I64" s="10"/>
      <c r="J64" s="10"/>
      <c r="K64" s="10"/>
    </row>
    <row r="65" spans="1:11" ht="15.75">
      <c r="A65" s="4"/>
      <c r="B65" s="4"/>
      <c r="C65" s="4"/>
      <c r="D65" s="4">
        <v>134</v>
      </c>
      <c r="E65" s="8" t="s">
        <v>39</v>
      </c>
      <c r="F65" s="6">
        <f>ROUND(4.44*4.21,1)</f>
        <v>18.7</v>
      </c>
      <c r="G65" s="6">
        <f>ROUND(4.44*4.21,1)</f>
        <v>18.7</v>
      </c>
      <c r="H65" s="6"/>
      <c r="I65" s="10"/>
      <c r="J65" s="10"/>
      <c r="K65" s="10"/>
    </row>
    <row r="66" spans="1:11" ht="15.75">
      <c r="A66" s="4"/>
      <c r="B66" s="4"/>
      <c r="C66" s="4"/>
      <c r="D66" s="4">
        <v>135</v>
      </c>
      <c r="E66" s="8" t="s">
        <v>48</v>
      </c>
      <c r="F66" s="6">
        <f>ROUND(2.94*4.17,1)</f>
        <v>12.3</v>
      </c>
      <c r="G66" s="6">
        <f>ROUND(2.94*4.17,1)</f>
        <v>12.3</v>
      </c>
      <c r="H66" s="6"/>
      <c r="I66" s="10"/>
      <c r="J66" s="10"/>
      <c r="K66" s="10"/>
    </row>
    <row r="67" spans="1:11" ht="15.75">
      <c r="A67" s="4"/>
      <c r="B67" s="4"/>
      <c r="C67" s="4"/>
      <c r="D67" s="4">
        <v>136</v>
      </c>
      <c r="E67" s="8" t="s">
        <v>48</v>
      </c>
      <c r="F67" s="6">
        <f>ROUND(3.57*4.21,1)</f>
        <v>15</v>
      </c>
      <c r="G67" s="6">
        <f>ROUND(3.57*4.21,1)</f>
        <v>15</v>
      </c>
      <c r="H67" s="6"/>
      <c r="I67" s="10"/>
      <c r="J67" s="10"/>
      <c r="K67" s="10"/>
    </row>
    <row r="68" spans="1:11" ht="15.75">
      <c r="A68" s="4"/>
      <c r="B68" s="4"/>
      <c r="C68" s="4"/>
      <c r="D68" s="4">
        <v>137</v>
      </c>
      <c r="E68" s="8" t="s">
        <v>19</v>
      </c>
      <c r="F68" s="6">
        <f>ROUND(10.07*1.4,1)</f>
        <v>14.1</v>
      </c>
      <c r="G68" s="6"/>
      <c r="H68" s="6">
        <f>ROUND(10.07*1.4,1)</f>
        <v>14.1</v>
      </c>
      <c r="I68" s="10"/>
      <c r="J68" s="10"/>
      <c r="K68" s="10"/>
    </row>
    <row r="69" spans="1:11" ht="15.75">
      <c r="A69" s="4"/>
      <c r="B69" s="4"/>
      <c r="C69" s="4"/>
      <c r="D69" s="4">
        <v>138</v>
      </c>
      <c r="E69" s="8" t="s">
        <v>48</v>
      </c>
      <c r="F69" s="6">
        <f>ROUND(1.27*2.57,1)</f>
        <v>3.3</v>
      </c>
      <c r="G69" s="6">
        <f>ROUND(1.27*2.57,1)</f>
        <v>3.3</v>
      </c>
      <c r="H69" s="6"/>
      <c r="I69" s="10"/>
      <c r="J69" s="10"/>
      <c r="K69" s="10"/>
    </row>
    <row r="70" spans="1:11" ht="15.75">
      <c r="A70" s="4"/>
      <c r="B70" s="4"/>
      <c r="C70" s="4"/>
      <c r="D70" s="4">
        <v>139</v>
      </c>
      <c r="E70" s="8" t="s">
        <v>48</v>
      </c>
      <c r="F70" s="6">
        <f>ROUND(1.96*2.59,1)</f>
        <v>5.0999999999999996</v>
      </c>
      <c r="G70" s="6">
        <f>ROUND(1.96*2.59,1)</f>
        <v>5.0999999999999996</v>
      </c>
      <c r="H70" s="6"/>
      <c r="I70" s="10"/>
      <c r="J70" s="10"/>
      <c r="K70" s="10"/>
    </row>
    <row r="71" spans="1:11" ht="15.75">
      <c r="A71" s="4"/>
      <c r="B71" s="4"/>
      <c r="C71" s="4"/>
      <c r="D71" s="4">
        <v>140</v>
      </c>
      <c r="E71" s="8" t="s">
        <v>48</v>
      </c>
      <c r="F71" s="6">
        <f>ROUND(3.03*2.58,1)</f>
        <v>7.8</v>
      </c>
      <c r="G71" s="6">
        <f>ROUND(3.03*2.58,1)</f>
        <v>7.8</v>
      </c>
      <c r="H71" s="6"/>
      <c r="I71" s="10"/>
      <c r="J71" s="10"/>
      <c r="K71" s="10"/>
    </row>
    <row r="72" spans="1:11" ht="15.75">
      <c r="A72" s="4"/>
      <c r="B72" s="4"/>
      <c r="C72" s="4"/>
      <c r="D72" s="4">
        <v>141</v>
      </c>
      <c r="E72" s="8" t="s">
        <v>48</v>
      </c>
      <c r="F72" s="6">
        <f>ROUND(3.14*2.57,1)</f>
        <v>8.1</v>
      </c>
      <c r="G72" s="6">
        <f>ROUND(3.14*2.57,1)</f>
        <v>8.1</v>
      </c>
      <c r="H72" s="6"/>
      <c r="I72" s="10"/>
      <c r="J72" s="10"/>
      <c r="K72" s="10"/>
    </row>
    <row r="73" spans="1:11" ht="15.75">
      <c r="A73" s="4"/>
      <c r="B73" s="4"/>
      <c r="C73" s="4"/>
      <c r="D73" s="4">
        <v>142</v>
      </c>
      <c r="E73" s="8" t="s">
        <v>53</v>
      </c>
      <c r="F73" s="6">
        <f>ROUND(2.77*4.15+(1.64+0.9)/2*0.83+
1.36*0.9,1)</f>
        <v>13.8</v>
      </c>
      <c r="G73" s="6">
        <f>ROUND(2.77*4.15+(1.64+0.9)/2*0.83+
1.36*0.9,1)</f>
        <v>13.8</v>
      </c>
      <c r="H73" s="6"/>
      <c r="I73" s="10"/>
      <c r="J73" s="10"/>
      <c r="K73" s="10"/>
    </row>
    <row r="74" spans="1:11" ht="15.75">
      <c r="A74" s="4"/>
      <c r="B74" s="4"/>
      <c r="C74" s="4"/>
      <c r="D74" s="4">
        <v>143</v>
      </c>
      <c r="E74" s="8" t="s">
        <v>53</v>
      </c>
      <c r="F74" s="6">
        <f>ROUND(3.12*4.19,1)</f>
        <v>13.1</v>
      </c>
      <c r="G74" s="6">
        <f>ROUND(3.12*4.19,1)</f>
        <v>13.1</v>
      </c>
      <c r="H74" s="6"/>
      <c r="I74" s="10"/>
      <c r="J74" s="10"/>
      <c r="K74" s="10"/>
    </row>
    <row r="75" spans="1:11" ht="15.75">
      <c r="A75" s="4"/>
      <c r="B75" s="4"/>
      <c r="C75" s="4"/>
      <c r="D75" s="4">
        <v>144</v>
      </c>
      <c r="E75" s="8" t="s">
        <v>53</v>
      </c>
      <c r="F75" s="6">
        <f>ROUND(3.39*4.22,1)</f>
        <v>14.3</v>
      </c>
      <c r="G75" s="6">
        <f>ROUND(3.39*4.22,1)</f>
        <v>14.3</v>
      </c>
      <c r="H75" s="6"/>
      <c r="I75" s="10"/>
      <c r="J75" s="10"/>
      <c r="K75" s="10"/>
    </row>
    <row r="76" spans="1:11" ht="15.75">
      <c r="A76" s="4"/>
      <c r="B76" s="4"/>
      <c r="C76" s="4"/>
      <c r="D76" s="4">
        <v>145</v>
      </c>
      <c r="E76" s="8" t="s">
        <v>21</v>
      </c>
      <c r="F76" s="6">
        <f>ROUND(1.98*0.83,1)</f>
        <v>1.6</v>
      </c>
      <c r="G76" s="6"/>
      <c r="H76" s="6">
        <f>ROUND(1.98*0.83,1)</f>
        <v>1.6</v>
      </c>
      <c r="I76" s="10"/>
      <c r="J76" s="10"/>
      <c r="K76" s="10"/>
    </row>
    <row r="77" spans="1:11" ht="15.75">
      <c r="A77" s="4"/>
      <c r="B77" s="4"/>
      <c r="C77" s="4"/>
      <c r="D77" s="4">
        <v>146</v>
      </c>
      <c r="E77" s="8" t="s">
        <v>42</v>
      </c>
      <c r="F77" s="6">
        <f>ROUND(1.98*1.36,1)</f>
        <v>2.7</v>
      </c>
      <c r="G77" s="6"/>
      <c r="H77" s="6">
        <f>ROUND(1.98*1.36,1)</f>
        <v>2.7</v>
      </c>
      <c r="I77" s="10"/>
      <c r="J77" s="10"/>
      <c r="K77" s="10"/>
    </row>
    <row r="78" spans="1:11" ht="15.75">
      <c r="A78" s="4"/>
      <c r="B78" s="4"/>
      <c r="C78" s="4"/>
      <c r="D78" s="4">
        <v>147</v>
      </c>
      <c r="E78" s="8" t="s">
        <v>26</v>
      </c>
      <c r="F78" s="6">
        <f>ROUND(1.25*0.53+0.51*0.53/2,1)</f>
        <v>0.8</v>
      </c>
      <c r="G78" s="6"/>
      <c r="H78" s="6">
        <f>ROUND(1.25*0.53+0.51*0.53/2,1)</f>
        <v>0.8</v>
      </c>
      <c r="I78" s="10"/>
      <c r="J78" s="10"/>
      <c r="K78" s="10"/>
    </row>
    <row r="79" spans="1:11" ht="15.75">
      <c r="A79" s="4"/>
      <c r="B79" s="4"/>
      <c r="C79" s="4"/>
      <c r="D79" s="4"/>
      <c r="E79" s="8"/>
      <c r="F79" s="6"/>
      <c r="G79" s="6"/>
      <c r="H79" s="6"/>
      <c r="I79" s="10"/>
      <c r="J79" s="10"/>
      <c r="K79" s="10"/>
    </row>
    <row r="80" spans="1:11" ht="15.75">
      <c r="A80" s="4"/>
      <c r="B80" s="4"/>
      <c r="C80" s="4"/>
      <c r="D80" s="4"/>
      <c r="E80" s="8" t="s">
        <v>54</v>
      </c>
      <c r="F80" s="9">
        <f>SUM(F32:F79)</f>
        <v>626.79999999999995</v>
      </c>
      <c r="G80" s="9">
        <f>SUM(G32:G79)</f>
        <v>428.30000000000018</v>
      </c>
      <c r="H80" s="9">
        <f>SUM(H32:H79)</f>
        <v>198.5</v>
      </c>
      <c r="I80" s="10"/>
      <c r="J80" s="10"/>
      <c r="K80" s="10"/>
    </row>
    <row r="81" spans="1:12" ht="15.75">
      <c r="A81" s="4"/>
      <c r="B81" s="4"/>
      <c r="C81" s="4"/>
      <c r="D81" s="4"/>
      <c r="E81" s="8"/>
      <c r="F81" s="6"/>
      <c r="G81" s="6"/>
      <c r="H81" s="6"/>
      <c r="I81" s="10"/>
      <c r="J81" s="10"/>
      <c r="K81" s="10"/>
    </row>
    <row r="82" spans="1:12" ht="15.75">
      <c r="A82" s="18" t="s">
        <v>4</v>
      </c>
      <c r="B82" s="18"/>
      <c r="C82" s="18"/>
      <c r="D82" s="18"/>
      <c r="E82" s="18"/>
      <c r="F82" s="9">
        <f>SUM(F80,F30)</f>
        <v>806.09999999999991</v>
      </c>
      <c r="G82" s="9">
        <f>SUM(G80,G30)</f>
        <v>478.4000000000002</v>
      </c>
      <c r="H82" s="9">
        <f>SUM(H80,H30)</f>
        <v>327.70000000000005</v>
      </c>
      <c r="I82" s="10"/>
      <c r="J82" s="10"/>
      <c r="K82" s="10"/>
      <c r="L82" s="2"/>
    </row>
    <row r="83" spans="1:1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s="19" t="s">
        <v>31</v>
      </c>
      <c r="B84" s="19"/>
      <c r="C84" s="19"/>
      <c r="D84" s="19"/>
      <c r="E84" s="19"/>
      <c r="F84" s="2"/>
      <c r="G84" s="2"/>
      <c r="H84" s="2"/>
      <c r="I84" s="2"/>
      <c r="J84" s="2"/>
      <c r="K84" s="2"/>
      <c r="L84" s="2"/>
    </row>
    <row r="85" spans="1: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</sheetData>
  <mergeCells count="21">
    <mergeCell ref="A84:E84"/>
    <mergeCell ref="A7:K7"/>
    <mergeCell ref="A8:A13"/>
    <mergeCell ref="B8:B13"/>
    <mergeCell ref="C8:C13"/>
    <mergeCell ref="D8:D13"/>
    <mergeCell ref="E8:E13"/>
    <mergeCell ref="F8:F13"/>
    <mergeCell ref="G8:J9"/>
    <mergeCell ref="K8:K13"/>
    <mergeCell ref="G10:G13"/>
    <mergeCell ref="H10:H13"/>
    <mergeCell ref="I10:I13"/>
    <mergeCell ref="J10:J13"/>
    <mergeCell ref="A82:E82"/>
    <mergeCell ref="A6:K6"/>
    <mergeCell ref="A1:K1"/>
    <mergeCell ref="A2:K2"/>
    <mergeCell ref="A3:K3"/>
    <mergeCell ref="A4:K4"/>
    <mergeCell ref="A5:K5"/>
  </mergeCells>
  <phoneticPr fontId="0" type="noConversion"/>
  <pageMargins left="0.70866141732283472" right="0.11811023622047245" top="0.74803149606299213" bottom="0.6" header="0.31496062992125984" footer="0.31496062992125984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експлік К</vt:lpstr>
      <vt:lpstr>експлік З</vt:lpstr>
      <vt:lpstr>експлік ж</vt:lpstr>
      <vt:lpstr>експлік Е</vt:lpstr>
      <vt:lpstr>експлік Д</vt:lpstr>
      <vt:lpstr>експлік Г</vt:lpstr>
      <vt:lpstr>експлік В</vt:lpstr>
      <vt:lpstr>експлік Б</vt:lpstr>
      <vt:lpstr>експлік 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2019-03-13T10:19:47Z</cp:lastPrinted>
  <dcterms:created xsi:type="dcterms:W3CDTF">2006-09-16T00:00:00Z</dcterms:created>
  <dcterms:modified xsi:type="dcterms:W3CDTF">2021-02-08T08:37:34Z</dcterms:modified>
</cp:coreProperties>
</file>